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7875" tabRatio="410" activeTab="1"/>
  </bookViews>
  <sheets>
    <sheet name="Szakirány_választás" sheetId="1" r:id="rId1"/>
    <sheet name="Változások" sheetId="2" r:id="rId2"/>
  </sheets>
  <definedNames>
    <definedName name="ARa">'Szakirány_választás'!$W$68:$AA$69</definedName>
    <definedName name="ARjegyek">'Szakirány_választás'!$BC$10:$BC$56</definedName>
    <definedName name="atlagok">'Szakirány_választás'!$L$73</definedName>
    <definedName name="epszig">'Szakirány_választás'!$H$50</definedName>
    <definedName name="filenev">'Szakirány_választás'!$C$85</definedName>
    <definedName name="jegyek">'Szakirány_választás'!$L$72</definedName>
    <definedName name="jojegyekszama">'Szakirány_választás'!#REF!</definedName>
    <definedName name="KreditSorrendhez">'Szakirány_választás'!$AC$71</definedName>
    <definedName name="M1a">'Szakirány_választás'!$AG$68:$AU$74</definedName>
    <definedName name="m1atlag">'Szakirány_választás'!$BE$69</definedName>
    <definedName name="M1ax">'Szakirány_választás'!$AG$69:$AU$74</definedName>
    <definedName name="M1jegyek">'Szakirány_választás'!$AD$10:$AD$58</definedName>
    <definedName name="M1jegyek12">'Szakirány_választás'!$AE$10:$AE$22</definedName>
    <definedName name="M1M2jegyek">'Szakirány_választás'!$AE$10:$AE$25</definedName>
    <definedName name="M1sorrendkredit">'Szakirány_választás'!$AB$10:$AC$67</definedName>
    <definedName name="M2a">'Szakirány_választás'!$AX$68:$AZ$69</definedName>
    <definedName name="M2jegyek">'Szakirány_választás'!$AD$59:$AD$67</definedName>
    <definedName name="M2jegyek3">'Szakirány_választás'!$AE$23:$AE$25</definedName>
    <definedName name="Mreszpontok">'Szakirány_választás'!$D$80:$D$81</definedName>
    <definedName name="Neptunkod">'Szakirány_választás'!$D$7</definedName>
    <definedName name="osszkredit">'Szakirány_választás'!$G$71</definedName>
    <definedName name="osztalyzat">'Szakirány_választás'!$AE$71</definedName>
    <definedName name="szilszig">'Szakirány_választás'!$H$40</definedName>
    <definedName name="T1a">'Szakirány_választás'!$K$68:$Q$69</definedName>
    <definedName name="T1jegyek">'Szakirány_választás'!$BA$10:$BA$56</definedName>
    <definedName name="T2a">'Szakirány_választás'!$S$68:$U$69</definedName>
    <definedName name="T2jegyek">'Szakirány_választás'!$BB$10:$BB$56</definedName>
    <definedName name="TantargySorszam">'Szakirány_választás'!$AC$72</definedName>
    <definedName name="tervszig">'Szakirány_választás'!$H$56</definedName>
    <definedName name="Treszpontok">'Szakirány_választás'!$D$73:$D$78</definedName>
  </definedNames>
  <calcPr fullCalcOnLoad="1"/>
</workbook>
</file>

<file path=xl/comments1.xml><?xml version="1.0" encoding="utf-8"?>
<comments xmlns="http://schemas.openxmlformats.org/spreadsheetml/2006/main">
  <authors>
    <author>Szakir. Prog. Fejl.</author>
  </authors>
  <commentList>
    <comment ref="D4" authorId="0">
      <text>
        <r>
          <rPr>
            <sz val="8"/>
            <rFont val="Tahoma"/>
            <family val="2"/>
          </rPr>
          <t xml:space="preserve">A maximális pontszám: 100
</t>
        </r>
      </text>
    </comment>
    <comment ref="D6" authorId="0">
      <text>
        <r>
          <rPr>
            <sz val="8"/>
            <rFont val="Tahoma"/>
            <family val="2"/>
          </rPr>
          <t xml:space="preserve">A maximális pontszám: 100
</t>
        </r>
      </text>
    </comment>
    <comment ref="D7" authorId="0">
      <text>
        <r>
          <rPr>
            <sz val="8"/>
            <rFont val="Tahoma"/>
            <family val="2"/>
          </rPr>
          <t xml:space="preserve">Ha a Neptunban nyilvántartott jegyeit szeretné az itteni osztályzatokkal összevetni, akkor írja be a Neptun-kódját.
</t>
        </r>
      </text>
    </comment>
    <comment ref="F8" authorId="0">
      <text>
        <r>
          <rPr>
            <sz val="8"/>
            <rFont val="Tahoma"/>
            <family val="2"/>
          </rPr>
          <t xml:space="preserve">Ebben az oszlopban csak ott írhat be értéket, ahol a tantárgy kreditértéke a közelmúltban változott!
</t>
        </r>
      </text>
    </comment>
    <comment ref="G8" authorId="0">
      <text>
        <r>
          <rPr>
            <sz val="8"/>
            <rFont val="Tahoma"/>
            <family val="2"/>
          </rPr>
          <t xml:space="preserve">Csak a zöld ponttal megjelölt oszlopokba, valamint a Neptun-kód mezőbe lehet írni.
</t>
        </r>
      </text>
    </comment>
    <comment ref="J8" authorId="0">
      <text>
        <r>
          <rPr>
            <sz val="8"/>
            <rFont val="Tahoma"/>
            <family val="2"/>
          </rPr>
          <t xml:space="preserve">Ezen oszlopokban csak a színes mezőkre kerülhet számérték!
</t>
        </r>
      </text>
    </comment>
    <comment ref="A9" authorId="0">
      <text>
        <r>
          <rPr>
            <sz val="8"/>
            <rFont val="Tahoma"/>
            <family val="2"/>
          </rPr>
          <t xml:space="preserve">Sorszám
</t>
        </r>
      </text>
    </comment>
    <comment ref="B9" authorId="0">
      <text>
        <r>
          <rPr>
            <sz val="8"/>
            <rFont val="Tahoma"/>
            <family val="2"/>
          </rPr>
          <t xml:space="preserve">Félév
</t>
        </r>
      </text>
    </comment>
    <comment ref="F9" authorId="0">
      <text>
        <r>
          <rPr>
            <sz val="8"/>
            <rFont val="Tahoma"/>
            <family val="2"/>
          </rPr>
          <t xml:space="preserve">A tantárgy kreditértéke a mintatantervben
</t>
        </r>
      </text>
    </comment>
    <comment ref="G9" authorId="0">
      <text>
        <r>
          <rPr>
            <sz val="8"/>
            <rFont val="Tahoma"/>
            <family val="2"/>
          </rPr>
          <t xml:space="preserve">Teljesített kredit
</t>
        </r>
      </text>
    </comment>
    <comment ref="H9" authorId="0">
      <text>
        <r>
          <rPr>
            <sz val="8"/>
            <rFont val="Tahoma"/>
            <family val="2"/>
          </rPr>
          <t xml:space="preserve">A tantárgyból megszerzett osztályzat
</t>
        </r>
      </text>
    </comment>
    <comment ref="I9" authorId="0">
      <text>
        <r>
          <rPr>
            <sz val="8"/>
            <rFont val="Tahoma"/>
            <family val="2"/>
          </rPr>
          <t>Ez az oszlop arra jó, hogy bejelölje azt a tárgyat, ami már megvan. Bármilyen értéket beírhat.
A törlés (delete) gombbal változtathat.</t>
        </r>
      </text>
    </comment>
    <comment ref="J9" authorId="0">
      <text>
        <r>
          <rPr>
            <sz val="8"/>
            <rFont val="Tahoma"/>
            <family val="2"/>
          </rPr>
          <t xml:space="preserve">Legjobb T1 (tervezés elméleti) tárgyak sorrendje (A legjobb 7 számít a tervező szakirány sorbaállításnál)
</t>
        </r>
      </text>
    </comment>
    <comment ref="R9" authorId="0">
      <text>
        <r>
          <rPr>
            <sz val="8"/>
            <rFont val="Tahoma"/>
            <family val="2"/>
          </rPr>
          <t>Legjobb T2 (tervezés gyakorlai) tárgyak sorrendje (A legjobb 3 számít a tervező szakirány sorbaállításnál)</t>
        </r>
      </text>
    </comment>
    <comment ref="V9" authorId="0">
      <text>
        <r>
          <rPr>
            <sz val="8"/>
            <rFont val="Tahoma"/>
            <family val="2"/>
          </rPr>
          <t xml:space="preserve">Legjobb T3 (ábrázoló, rajz) tárgyak sorrendje (A legjobb 5 számít a tervező szakirány sorbaállításnál)
</t>
        </r>
      </text>
    </comment>
    <comment ref="AB9" authorId="0">
      <text>
        <r>
          <rPr>
            <sz val="8"/>
            <rFont val="Tahoma"/>
            <family val="2"/>
          </rPr>
          <t xml:space="preserve">A legjobb  M1 jelű tárgyak sorrendje. (Az első 12 számít, 3 M2 típusú is lehet benne.) 
</t>
        </r>
      </text>
    </comment>
    <comment ref="AF9" authorId="0">
      <text>
        <r>
          <rPr>
            <sz val="8"/>
            <rFont val="Tahoma"/>
            <family val="2"/>
          </rPr>
          <t xml:space="preserve">Szorzó 
</t>
        </r>
      </text>
    </comment>
    <comment ref="AV9" authorId="0">
      <text>
        <r>
          <rPr>
            <sz val="8"/>
            <rFont val="Tahoma"/>
            <family val="2"/>
          </rPr>
          <t>A legjobb M2 jelű tárgyak sorrendje (3 darab  M2 típusú tárgy lehet a legjobb 12 M1 típusú között) A műszaki szakirány 3,5 -es átlagának számításához használjuk.</t>
        </r>
      </text>
    </comment>
    <comment ref="BA9" authorId="0">
      <text>
        <r>
          <rPr>
            <sz val="8"/>
            <rFont val="Tahoma"/>
            <family val="2"/>
          </rPr>
          <t>A legjobb T1 típusú (tervezés elméleti) tárgyak jegyei, amelyeknek az átlagát számítjuk a tervező szakirány sorrendbeállításához.</t>
        </r>
      </text>
    </comment>
    <comment ref="BB9" authorId="0">
      <text>
        <r>
          <rPr>
            <sz val="8"/>
            <rFont val="Tahoma"/>
            <family val="2"/>
          </rPr>
          <t xml:space="preserve">A legjobb T2 típusú (tervezés gyakorlati) tárgyak jegyei, amelyeknek az átlagát számítjuk a tervező szakirány sorrendbeállításához.
</t>
        </r>
      </text>
    </comment>
    <comment ref="BC9" authorId="0">
      <text>
        <r>
          <rPr>
            <sz val="8"/>
            <rFont val="Tahoma"/>
            <family val="2"/>
          </rPr>
          <t xml:space="preserve">A legjobb T3 típusú (ábrázoló, rajzi) tárgyak jegyei, amelyeknek az átlagát számítjuk a tervező szakirány sorrendbeállításához.
</t>
        </r>
      </text>
    </comment>
    <comment ref="BD9" authorId="0">
      <text>
        <r>
          <rPr>
            <sz val="8"/>
            <rFont val="Tahoma"/>
            <family val="2"/>
          </rPr>
          <t xml:space="preserve">A legjobb 12 műszaki tárgy kreditjei (3 M2 típusú tárgy is lehet benne) A szerkezeti szakirány 3,5-ös átlagának eléréséhez vesszük figyelembe.
</t>
        </r>
      </text>
    </comment>
    <comment ref="BE9" authorId="0">
      <text>
        <r>
          <rPr>
            <sz val="8"/>
            <rFont val="Tahoma"/>
            <family val="2"/>
          </rPr>
          <t xml:space="preserve">A legjobb 12 műszaki tárgy kredittel szorzott osztályzatai (3 M2 típusú tárgy is lehet benne) A szerkezeti szakirány 3,5-es átlagának eléréséhez vesszük figyelembe.
</t>
        </r>
      </text>
    </comment>
    <comment ref="BF9" authorId="0">
      <text>
        <r>
          <rPr>
            <sz val="8"/>
            <rFont val="Tahoma"/>
            <family val="2"/>
          </rPr>
          <t xml:space="preserve">A legjobb 30 kreditet adó M1/M2 típusú tárgyak kreditértékei, vagy részkreditje. (A szerkezeti szakirányon a sorbaállításhoz figyelembe vett tárgyak kredit értékei. )
</t>
        </r>
      </text>
    </comment>
    <comment ref="BG9" authorId="0">
      <text>
        <r>
          <rPr>
            <sz val="8"/>
            <rFont val="Tahoma"/>
            <family val="2"/>
          </rPr>
          <t xml:space="preserve">Ebben az oszlopban x-et talál ott, ahol csak részkreditet kell figyelembe venni.
</t>
        </r>
      </text>
    </comment>
    <comment ref="BH9" authorId="0">
      <text>
        <r>
          <rPr>
            <sz val="8"/>
            <rFont val="Tahoma"/>
            <family val="2"/>
          </rPr>
          <t xml:space="preserve">A legjobb 30 kreditet adó M1/M2 típusú tárgy osztályzatainak kredittel szorzott értékei. A szerkezeti szakirányon a  sorbaállításhoz számított átlaghoz.
</t>
        </r>
      </text>
    </comment>
    <comment ref="BI9" authorId="0">
      <text>
        <r>
          <rPr>
            <sz val="8"/>
            <rFont val="Tahoma"/>
            <family val="2"/>
          </rPr>
          <t xml:space="preserve">Szerkezeti szigorlat osztályzatai.
</t>
        </r>
      </text>
    </comment>
    <comment ref="F10" authorId="0">
      <text>
        <r>
          <rPr>
            <sz val="8"/>
            <rFont val="Tahoma"/>
            <family val="2"/>
          </rPr>
          <t xml:space="preserve">A tantárgy kreditértéke változott az elmúlt időszakban. Ellenőrizze, hogy Önnek a megfelelő érték van-e beírva!
</t>
        </r>
      </text>
    </comment>
    <comment ref="F12" authorId="0">
      <text>
        <r>
          <rPr>
            <sz val="8"/>
            <rFont val="Tahoma"/>
            <family val="2"/>
          </rPr>
          <t xml:space="preserve">A tantárgy kreditértéke változott az elmúlt időszakban. Ellenőrizze, hogy Önnek a megfelelő érték van-e beírva!
</t>
        </r>
      </text>
    </comment>
    <comment ref="F19" authorId="0">
      <text>
        <r>
          <rPr>
            <sz val="8"/>
            <rFont val="Tahoma"/>
            <family val="2"/>
          </rPr>
          <t xml:space="preserve">A tantárgy kreditértéke változott az elmúlt időszakban. Ellenőrizze, hogy Önnek a megfelelő érték van-e beírva!
</t>
        </r>
      </text>
    </comment>
    <comment ref="F20" authorId="0">
      <text>
        <r>
          <rPr>
            <sz val="8"/>
            <rFont val="Tahoma"/>
            <family val="2"/>
          </rPr>
          <t xml:space="preserve">A tantárgy kreditértéke változott az elmúlt időszakban. Ellenőrizze, hogy Önnek a megfelelő érték van-e beírva!
</t>
        </r>
      </text>
    </comment>
    <comment ref="H40" authorId="0">
      <text>
        <r>
          <rPr>
            <sz val="8"/>
            <rFont val="Tahoma"/>
            <family val="2"/>
          </rPr>
          <t xml:space="preserve">A műszaki szakirányhoz mindkét műszaki szigorlatnak meg kell lennie.
</t>
        </r>
      </text>
    </comment>
    <comment ref="H50" authorId="0">
      <text>
        <r>
          <rPr>
            <sz val="8"/>
            <rFont val="Tahoma"/>
            <family val="2"/>
          </rPr>
          <t xml:space="preserve">A műszaki szakirányhoz mindkét műszaki szigorlatnak meg kell lennie.
</t>
        </r>
      </text>
    </comment>
    <comment ref="H56" authorId="0">
      <text>
        <r>
          <rPr>
            <sz val="8"/>
            <rFont val="Tahoma"/>
            <family val="2"/>
          </rPr>
          <t xml:space="preserve">Tervező szakiránynál ennek az osztályzatnak legalább hármasnak kell lennie. 
</t>
        </r>
      </text>
    </comment>
    <comment ref="H57" authorId="0">
      <text>
        <r>
          <rPr>
            <sz val="8"/>
            <rFont val="Tahoma"/>
            <family val="2"/>
          </rPr>
          <t>Csak a tervező szakirányon!</t>
        </r>
      </text>
    </comment>
    <comment ref="H58" authorId="0">
      <text>
        <r>
          <rPr>
            <sz val="8"/>
            <rFont val="Tahoma"/>
            <family val="2"/>
          </rPr>
          <t xml:space="preserve">Csak a tervező szakirányon!
</t>
        </r>
      </text>
    </comment>
    <comment ref="BD68" authorId="0">
      <text>
        <r>
          <rPr>
            <sz val="8"/>
            <rFont val="Tahoma"/>
            <family val="2"/>
          </rPr>
          <t>A legjobb 12 műszaki tárgy krediteinek összege.</t>
        </r>
      </text>
    </comment>
    <comment ref="BE68" authorId="0">
      <text>
        <r>
          <rPr>
            <sz val="8"/>
            <rFont val="Tahoma"/>
            <family val="2"/>
          </rPr>
          <t>A  műszaki tantárgyak közül a legjobb 12 osztályzatának kredittel szorzott összértéke.</t>
        </r>
      </text>
    </comment>
    <comment ref="BF68" authorId="0">
      <text>
        <r>
          <rPr>
            <sz val="8"/>
            <rFont val="Tahoma"/>
            <family val="2"/>
          </rPr>
          <t>A legjobb 30 kreditnyi tárgy krediteinek összege. Az "M kr sorr" oszlopban lévő kreditek összegezve.
 (30 kell mindig legyen.)</t>
        </r>
      </text>
    </comment>
    <comment ref="BH68" authorId="0">
      <text>
        <r>
          <rPr>
            <sz val="8"/>
            <rFont val="Tahoma"/>
            <family val="2"/>
          </rPr>
          <t>A  műszaki tantárgyak közül a legjobb 30 kreditnyi tantárgy osztályzatának kredittel szorzott összértéke.</t>
        </r>
      </text>
    </comment>
    <comment ref="BI68" authorId="0">
      <text>
        <r>
          <rPr>
            <sz val="8"/>
            <rFont val="Tahoma"/>
            <family val="2"/>
          </rPr>
          <t xml:space="preserve">A jobbik szerkezeti szigorlat osztályzata.
</t>
        </r>
      </text>
    </comment>
    <comment ref="BA69" authorId="0">
      <text>
        <r>
          <rPr>
            <sz val="8"/>
            <rFont val="Tahoma"/>
            <family val="2"/>
          </rPr>
          <t xml:space="preserve">A legjobb 7 tervezési elméleti tantárgy osztályzatának átlaga.
</t>
        </r>
      </text>
    </comment>
    <comment ref="BB69" authorId="0">
      <text>
        <r>
          <rPr>
            <sz val="8"/>
            <rFont val="Tahoma"/>
            <family val="2"/>
          </rPr>
          <t xml:space="preserve">A legjobb 3 tervezési gyakorlati  tantárgy osztályzatának átlaga.
</t>
        </r>
      </text>
    </comment>
    <comment ref="BC69" authorId="0">
      <text>
        <r>
          <rPr>
            <sz val="8"/>
            <rFont val="Tahoma"/>
            <family val="2"/>
          </rPr>
          <t xml:space="preserve">A T3 tárgycsoport 5 legjobb osztályzatának átlaga.
</t>
        </r>
      </text>
    </comment>
    <comment ref="BE69" authorId="0">
      <text>
        <r>
          <rPr>
            <sz val="8"/>
            <rFont val="Tahoma"/>
            <family val="2"/>
          </rPr>
          <t>A legjobb 12 műszaki tantárgy kredittel súlyozott átlaga. A szerkezeti szakirányhoz feltétel, hogy legalább 3,5 legyen.</t>
        </r>
      </text>
    </comment>
    <comment ref="BH69" authorId="0">
      <text>
        <r>
          <rPr>
            <sz val="8"/>
            <rFont val="Tahoma"/>
            <family val="2"/>
          </rPr>
          <t xml:space="preserve">A legjobb 30 kreditnyi M1/M2 típusú műszaki tantárgy kredittel súlyozott átlaga.
</t>
        </r>
      </text>
    </comment>
    <comment ref="BA70" authorId="0">
      <text>
        <r>
          <rPr>
            <sz val="8"/>
            <rFont val="Tahoma"/>
            <family val="2"/>
          </rPr>
          <t xml:space="preserve">A legjobb 7 tervezési elméleti tantárgy osztályzatának átlaga, 15 %-os súllyal számolva.
</t>
        </r>
      </text>
    </comment>
    <comment ref="BB70" authorId="0">
      <text>
        <r>
          <rPr>
            <sz val="8"/>
            <rFont val="Tahoma"/>
            <family val="2"/>
          </rPr>
          <t xml:space="preserve">A legjobb 3 tervezési gyakorlati  tantárgy osztályzatának átlaga, 30 %-os súllyal figyelembe véve.
</t>
        </r>
      </text>
    </comment>
    <comment ref="BC70" authorId="0">
      <text>
        <r>
          <rPr>
            <sz val="8"/>
            <rFont val="Tahoma"/>
            <family val="2"/>
          </rPr>
          <t xml:space="preserve">A T3 tárgycsoport 5 legjobb osztályzatának átlaga, 15 %-os súllyal számolva.
</t>
        </r>
      </text>
    </comment>
    <comment ref="BD70" authorId="0">
      <text>
        <r>
          <rPr>
            <sz val="8"/>
            <rFont val="Tahoma"/>
            <family val="2"/>
          </rPr>
          <t>Figyelembe vett tantárgyak száma. (Az értéknek 12-nek kell lennie.)</t>
        </r>
      </text>
    </comment>
    <comment ref="BF70" authorId="0">
      <text>
        <r>
          <rPr>
            <sz val="8"/>
            <rFont val="Tahoma"/>
            <family val="2"/>
          </rPr>
          <t xml:space="preserve">A sorbaállításhoz számított átlagnál a figyelembe vett tantárgyak száma. Azon celláknak a száma az "M kr sorr" oszlopban, amelyben van érték.
</t>
        </r>
      </text>
    </comment>
    <comment ref="BH70" authorId="0">
      <text>
        <r>
          <rPr>
            <sz val="8"/>
            <rFont val="Tahoma"/>
            <family val="2"/>
          </rPr>
          <t xml:space="preserve">A legjobb 30 kreditnyi  M1/M2 típusú tantárgy kredittel súlyozott átlaga, 80 %-os súllyal figyelembe véve.
</t>
        </r>
      </text>
    </comment>
    <comment ref="BI70" authorId="0">
      <text>
        <r>
          <rPr>
            <sz val="8"/>
            <rFont val="Tahoma"/>
            <family val="2"/>
          </rPr>
          <t>A jobbik szerkezeti szigorlat 20 %-os súllyal figyelembe véve.</t>
        </r>
      </text>
    </comment>
    <comment ref="G71" authorId="0">
      <text>
        <r>
          <rPr>
            <sz val="8"/>
            <rFont val="Tahoma"/>
            <family val="2"/>
          </rPr>
          <t xml:space="preserve">Bármely szakirány választásnál az összkreditnek minimum 130-nak kell lennie.
</t>
        </r>
      </text>
    </comment>
    <comment ref="AC71" authorId="0">
      <text>
        <r>
          <rPr>
            <sz val="8"/>
            <rFont val="Tahoma"/>
            <family val="2"/>
          </rPr>
          <t xml:space="preserve">A műszaki szakirány sorrendbe állításnál ennyi kreditnyi M1-es tárgyat kell figyelembe venni. Tört kredit is lehet.
</t>
        </r>
      </text>
    </comment>
    <comment ref="AE71" authorId="0">
      <text>
        <r>
          <rPr>
            <sz val="8"/>
            <rFont val="Tahoma"/>
            <family val="2"/>
          </rPr>
          <t xml:space="preserve">Min. jegy (ha az M1 és M2 jegyek ennél nagyobbak, akkor csökkenő kreditértékben kell megjeleníteni őket.
</t>
        </r>
      </text>
    </comment>
    <comment ref="AC72" authorId="0">
      <text>
        <r>
          <rPr>
            <sz val="8"/>
            <rFont val="Tahoma"/>
            <family val="2"/>
          </rPr>
          <t xml:space="preserve">Ettől a sorszámtól kezdődnek az M2-es tárgyak.
</t>
        </r>
      </text>
    </comment>
    <comment ref="F78" authorId="0">
      <text>
        <r>
          <rPr>
            <sz val="8"/>
            <rFont val="Tahoma"/>
            <family val="2"/>
          </rPr>
          <t xml:space="preserve">A maximális pontszám: 100
</t>
        </r>
      </text>
    </comment>
    <comment ref="F81" authorId="0">
      <text>
        <r>
          <rPr>
            <sz val="8"/>
            <rFont val="Tahoma"/>
            <family val="2"/>
          </rPr>
          <t xml:space="preserve">A maximális pontszám: 100
</t>
        </r>
      </text>
    </comment>
    <comment ref="D83" authorId="0">
      <text>
        <r>
          <rPr>
            <sz val="8"/>
            <rFont val="Tahoma"/>
            <family val="2"/>
          </rPr>
          <t>A legjobb 12 műszaki tantárgy kredittel súlyozott átlaga. A műszaki szakirányhoz feltétel, hogy legalább 3,5 legyen.</t>
        </r>
      </text>
    </comment>
  </commentList>
</comments>
</file>

<file path=xl/sharedStrings.xml><?xml version="1.0" encoding="utf-8"?>
<sst xmlns="http://schemas.openxmlformats.org/spreadsheetml/2006/main" count="326" uniqueCount="257">
  <si>
    <t>Matematika 1</t>
  </si>
  <si>
    <t>MAT1</t>
  </si>
  <si>
    <t>Filozófia</t>
  </si>
  <si>
    <t>FILOZ</t>
  </si>
  <si>
    <t>Ábrázoló geometria 1</t>
  </si>
  <si>
    <t>ABR1</t>
  </si>
  <si>
    <t>Bevezetés az épületszerkezettanba</t>
  </si>
  <si>
    <t>BEVEPSZ</t>
  </si>
  <si>
    <t>Bevezetés a tartószerkezet-tervezésbe</t>
  </si>
  <si>
    <t>BEVTART</t>
  </si>
  <si>
    <t>Építészettörténet 1</t>
  </si>
  <si>
    <t>EPTORT1</t>
  </si>
  <si>
    <t>Rajz 1</t>
  </si>
  <si>
    <t>RAJZ1</t>
  </si>
  <si>
    <t>Bevezetés az építészetbe</t>
  </si>
  <si>
    <t>BEVEPI</t>
  </si>
  <si>
    <t>Térkompozíció</t>
  </si>
  <si>
    <t>TERKOMP</t>
  </si>
  <si>
    <t>Matematika 2</t>
  </si>
  <si>
    <t>MAT2</t>
  </si>
  <si>
    <t>Ábrázoló geometria 2</t>
  </si>
  <si>
    <t>ABR2</t>
  </si>
  <si>
    <t>Épületszerkezettan 1</t>
  </si>
  <si>
    <t>EPSZ1</t>
  </si>
  <si>
    <t>Statika</t>
  </si>
  <si>
    <t>STAT</t>
  </si>
  <si>
    <t>Építészettörténet 2</t>
  </si>
  <si>
    <t>EPTORT2</t>
  </si>
  <si>
    <t>Rajz 2</t>
  </si>
  <si>
    <t>RAJZ2</t>
  </si>
  <si>
    <t>Lakóépülettervezés 1</t>
  </si>
  <si>
    <t>LAKO1</t>
  </si>
  <si>
    <t>Építészet alapjai</t>
  </si>
  <si>
    <t>EPALAP</t>
  </si>
  <si>
    <t>Építőanyagok 1</t>
  </si>
  <si>
    <t>EPANYAG1</t>
  </si>
  <si>
    <t>Építész-informatika 1</t>
  </si>
  <si>
    <t>EPINF1</t>
  </si>
  <si>
    <t>Épületfizika</t>
  </si>
  <si>
    <t>EPFIZ</t>
  </si>
  <si>
    <t>Épületszerkezettan 2</t>
  </si>
  <si>
    <t>EPSZ2</t>
  </si>
  <si>
    <t>Szilárdságtan 1</t>
  </si>
  <si>
    <t>SZIL1</t>
  </si>
  <si>
    <t>Építészettörténet 3</t>
  </si>
  <si>
    <t>EPTORT3</t>
  </si>
  <si>
    <t>Rajz 3</t>
  </si>
  <si>
    <t>RAJZ3</t>
  </si>
  <si>
    <t>Középülettervezés 1</t>
  </si>
  <si>
    <t>KOZEP1</t>
  </si>
  <si>
    <t>Lakóépülettervezés 2</t>
  </si>
  <si>
    <t>LAKO2</t>
  </si>
  <si>
    <t>VSZOC</t>
  </si>
  <si>
    <t>Építész-informatika 2</t>
  </si>
  <si>
    <t>EPINF2</t>
  </si>
  <si>
    <t>Épületszerkezettan 3</t>
  </si>
  <si>
    <t>EPSZ3</t>
  </si>
  <si>
    <t>Szilárdságtan 2</t>
  </si>
  <si>
    <t>SZIL2</t>
  </si>
  <si>
    <t>Szilárdságtan szigorlat</t>
  </si>
  <si>
    <t>SZILT_SZ</t>
  </si>
  <si>
    <t>Építészettörténet 4</t>
  </si>
  <si>
    <t>EPTORT4</t>
  </si>
  <si>
    <t>Rajz 4</t>
  </si>
  <si>
    <t>RAJZ4</t>
  </si>
  <si>
    <t>Tervezésmódszertan</t>
  </si>
  <si>
    <t>TERVMOD</t>
  </si>
  <si>
    <t>Munkahelyek építészete 1</t>
  </si>
  <si>
    <t>MUNKAH1</t>
  </si>
  <si>
    <t>Középülettervezés 2</t>
  </si>
  <si>
    <t>KOZEP2</t>
  </si>
  <si>
    <t>Építész-informatika 3</t>
  </si>
  <si>
    <t>EPINF3</t>
  </si>
  <si>
    <t>Építéskivitelezés-szervezés 1</t>
  </si>
  <si>
    <t>EPKIV1</t>
  </si>
  <si>
    <t>Épületgépészet 1</t>
  </si>
  <si>
    <t>EPGEP1</t>
  </si>
  <si>
    <t>Épületszerkezettan 4</t>
  </si>
  <si>
    <t>EPSZ4</t>
  </si>
  <si>
    <t>Épületszerkezettan szigorlat</t>
  </si>
  <si>
    <t>EPSZ_SZ</t>
  </si>
  <si>
    <t>Tartószerkezetek modellezése</t>
  </si>
  <si>
    <t>TARTMOD</t>
  </si>
  <si>
    <t>Építészettörténet 5</t>
  </si>
  <si>
    <t>EPTORT5</t>
  </si>
  <si>
    <t>Rajz 5</t>
  </si>
  <si>
    <t>RAJZ5</t>
  </si>
  <si>
    <t>Város 1</t>
  </si>
  <si>
    <t>VAROS1</t>
  </si>
  <si>
    <t>Munkahelyek építészete 2</t>
  </si>
  <si>
    <t>MUNKAH2</t>
  </si>
  <si>
    <t>Tervezési szigorlat</t>
  </si>
  <si>
    <t>TERV_SZ</t>
  </si>
  <si>
    <t>PORTF</t>
  </si>
  <si>
    <t>Átlag</t>
  </si>
  <si>
    <t>T1</t>
  </si>
  <si>
    <t>T2</t>
  </si>
  <si>
    <t>M1</t>
  </si>
  <si>
    <t>M2</t>
  </si>
  <si>
    <t>Pontszám sorrendhez</t>
  </si>
  <si>
    <t>Átlag sorrendhez</t>
  </si>
  <si>
    <t>M1 suly sorr</t>
  </si>
  <si>
    <t>a</t>
  </si>
  <si>
    <t>b</t>
  </si>
  <si>
    <t>c</t>
  </si>
  <si>
    <t>d</t>
  </si>
  <si>
    <t>e</t>
  </si>
  <si>
    <t>f</t>
  </si>
  <si>
    <t>T1*</t>
  </si>
  <si>
    <t>T2*</t>
  </si>
  <si>
    <t>l</t>
  </si>
  <si>
    <t>M. szigorlat</t>
  </si>
  <si>
    <t>AR ábrázoló, rajzi tantárgycsoport</t>
  </si>
  <si>
    <t>Portfólió</t>
  </si>
  <si>
    <t>M1 típusú tantárgyak</t>
  </si>
  <si>
    <t>OK</t>
  </si>
  <si>
    <t>T2 tervezési gyakorlati tantárgyak</t>
  </si>
  <si>
    <t>File:</t>
  </si>
  <si>
    <t>Tantárgyak</t>
  </si>
  <si>
    <t>Rövid név</t>
  </si>
  <si>
    <t>F.</t>
  </si>
  <si>
    <t>S.</t>
  </si>
  <si>
    <t>M1 suly</t>
  </si>
  <si>
    <t>FELV_B</t>
  </si>
  <si>
    <t>Az újabb programverziókban történt változások</t>
  </si>
  <si>
    <t>Hibajavítás</t>
  </si>
  <si>
    <t>Ismert hibák</t>
  </si>
  <si>
    <t>Új funkciók</t>
  </si>
  <si>
    <t>*</t>
  </si>
  <si>
    <t>Bekerült egy új fül "Változások" néven. Itt az újabb programverziókban történt változások követhetők.</t>
  </si>
  <si>
    <t>Néhány megjegyzés (ahol kis piros háromszög van a cella sarkában) nem volt olvasható a megjegyzés-téglalap kis mérete miatt.</t>
  </si>
  <si>
    <t>Bekerült egy új fül "Szabályzat" néven. Itt a szakirány választási szabályzat olvasható.</t>
  </si>
  <si>
    <t>A "Szakirány választás" lap alján egy Internetes hivatkozás található, amelyre kattintva ellenőrizhető, hogy a táblázatnak van-e újabb változata. Pillanatnyilag (Excel probléma miatt) ez a hivatkozás nem működik. A megoldás keresése folyamatban van.</t>
  </si>
  <si>
    <t>Kredit</t>
  </si>
  <si>
    <t>Ha egyetlen cellába sem írtunk be értéket az "Osztályzat" oszlopban, akkor az "Átlag sorrendhez" és a "Pontszám sorrendhez" sorok "M1 suly korr" oszlopa a nullával való osztás miatt hibaüzenetet adott. Ez a hiba továbbmásolódott a "M1 típusú tantárgyak" sor és a "Műszaki súlyozott pont" eredményéhez.</t>
  </si>
  <si>
    <t>A műszaki szigorlatokhoz is bekerült egy rájuk vonatkozó megjegyzés: "A műszaki szakirányhoz mindkét szigorlatnak meg kell lennie."</t>
  </si>
  <si>
    <t>A súlyozott pontokhoz bekerült egy rájuk vonatkozó megjegyzés: "A maximális pontszám: 100"</t>
  </si>
  <si>
    <t>--------------------------------------------------------------------------------------------------------------------------------------------------</t>
  </si>
  <si>
    <t>Felhasználói felület</t>
  </si>
  <si>
    <t>Jegy</t>
  </si>
  <si>
    <t>20081026_01</t>
  </si>
  <si>
    <t>20081027_01</t>
  </si>
  <si>
    <t>Felvételi beszélgetés</t>
  </si>
  <si>
    <t xml:space="preserve">A tervező szakirány szóbeli beszélgetése tévesen, "Tervezési szigorlat szóbeli" néven volt feltüntetve. Helyesen: "Felvételi beszélgetés" </t>
  </si>
  <si>
    <t xml:space="preserve">A tervező szakirány alsó pontösszegző blokkjának "e" pontja, a szóbeli beszélgetés tévesen, "Tervezési szigorlat szóbeli" néven volt. Helyesen az is: "Felvételi beszélgetés" </t>
  </si>
  <si>
    <t>A Szabályzat fül lapján a dokumentum végén tévesen volt felírva a dátum: 2006. június 4. Helyesen: 2008. június 4.</t>
  </si>
  <si>
    <t xml:space="preserve">A tantárgyak rövid neve nem kerül kiírásra, mert csak a Neptunból leszűrt adatok esetén van rájuk szükség, s akkor is inkább a Neptun-beli tantárgykódra. </t>
  </si>
  <si>
    <t xml:space="preserve">A Szabályzat fülön a Szabályzat dokumentumának tagolását, a jobb olvashatóság, kereshetőség érdekében kiemeltük. </t>
  </si>
  <si>
    <t>A "Pontszám sorrendhez" című sor a, b, c cellája rossz értéket számolt. Ha az összes osztályzat jeles volt, nem adott ki 100 pontot a tervező szakiránynál.</t>
  </si>
  <si>
    <t>Felvételi beszélgetés (max. 50 pont)</t>
  </si>
  <si>
    <t>Portfólió (max. 50 pont)</t>
  </si>
  <si>
    <t>A lapokra betett Internetes hivatkozások (linkek), amelyek az új verziók keresésére és az ismert hibák áttekintésére vonatkoznak, most már működnek. (A 20081026_01, Ismert hibák bejegyzés orvoslása.)</t>
  </si>
  <si>
    <t>A Szakirány választás lap tetején a feltételeknek való megfelelés szöveg háttérszíne változik.</t>
  </si>
  <si>
    <t>T. kredit</t>
  </si>
  <si>
    <t>20081027_03</t>
  </si>
  <si>
    <t>Az Ábrázoló geometria 1, 2 és a Matematika 1,2 tárgyak kreditjei az elmúlt időszakban változtak. Az előző programverziókban ezen tárgyak krediteinek cellái le voltak zárva, a felhasználó nem tudta változtatni őket. Most a felhasználó átírhatja ezen tárgyak kreditjeit.</t>
  </si>
  <si>
    <t>20081027_04</t>
  </si>
  <si>
    <t>A T2* és az AR* oszlopok "átlag sorrendhez" sorában az információs fül tartalma hibás volt.</t>
  </si>
  <si>
    <t>Az M1 oszlopban a sorbarendezett osztályzatoknál kimaradt egy-egy érték.</t>
  </si>
  <si>
    <t>kredit</t>
  </si>
  <si>
    <t>sorrend</t>
  </si>
  <si>
    <t>max</t>
  </si>
  <si>
    <t>szumma kredit</t>
  </si>
  <si>
    <t>szorzó</t>
  </si>
  <si>
    <t>tört kredit</t>
  </si>
  <si>
    <t>egész kredit</t>
  </si>
  <si>
    <t>x</t>
  </si>
  <si>
    <t>T1 tervezési elméleti tárgyak</t>
  </si>
  <si>
    <t>Jegyek</t>
  </si>
  <si>
    <t>Átlagok</t>
  </si>
  <si>
    <t>Neptun-kód:</t>
  </si>
  <si>
    <t>Szabályzat változás</t>
  </si>
  <si>
    <t>A Kari Tanács 2008. november 4-i ülésén módosította a műszaki szakirányra jelentkező hallgatók sorbaállításának szabályát. Ennek megfelelően ezt a táblázatban is átvezettük.</t>
  </si>
  <si>
    <t>20081105_04</t>
  </si>
  <si>
    <t>A cellákhoz fűzött megjegyzések (kis piros háromszöggel jelölve) változó méretű téglalapban jelennek meg. Ha a táblázat nagyítása 100 % alatt van, akkor a megjegyzések nem férnek el a téglalapban. (MS Office probléma.)</t>
  </si>
  <si>
    <t>Építéskivitelezés-szervezés 2</t>
  </si>
  <si>
    <t>Épületgépészet 2</t>
  </si>
  <si>
    <t>Épületszerkezettan 5</t>
  </si>
  <si>
    <t>Vasbetontartók</t>
  </si>
  <si>
    <t>Építőanyagok 2</t>
  </si>
  <si>
    <t>Építéskivitelezés-szervezés 3</t>
  </si>
  <si>
    <t>Épületszerkezettan 6 + Épszerk köt. v.</t>
  </si>
  <si>
    <t>Acél/fa tartók + Tartó köt. v.</t>
  </si>
  <si>
    <t>Talajmechanika alapjai</t>
  </si>
  <si>
    <t>EPKIV2</t>
  </si>
  <si>
    <t>EPGEP2</t>
  </si>
  <si>
    <t>EPSZ5</t>
  </si>
  <si>
    <t>VASBET</t>
  </si>
  <si>
    <t>EPANYAG2</t>
  </si>
  <si>
    <t>EPKIV3</t>
  </si>
  <si>
    <t>EPSZ6</t>
  </si>
  <si>
    <t>ACELFA</t>
  </si>
  <si>
    <t>TALAJ</t>
  </si>
  <si>
    <t>M12*</t>
  </si>
  <si>
    <t>Szorzó</t>
  </si>
  <si>
    <t>D</t>
  </si>
  <si>
    <t>E</t>
  </si>
  <si>
    <t>Küldjön üzenetet, ha valamilyen hibát észlel a táblázatban!</t>
  </si>
  <si>
    <t>Csatolja az üzenetéhez ezt a táblázatot a beírt osztályzatokkal! Köszönjük!</t>
  </si>
  <si>
    <t>Tervező szakirányhoz,  súlyozott pont:</t>
  </si>
  <si>
    <t>20090109_01</t>
  </si>
  <si>
    <t>Szabályzat értelmezés</t>
  </si>
  <si>
    <t>További cellákhoz kerültek értelmező megjegyzések (kis piros háromszöggel jelölve).</t>
  </si>
  <si>
    <t xml:space="preserve">A szabályzatban említett M2 műszaki tantárgycsoport tárgyait is számításba veszi a program. Ezáltal -azok a hallgatók, akik most nem felelnek meg a műszaki szakirány felvételi követelményeinek- tervezhetik a programmal, hogy mely tárgyakat vegyék fel annak érdekében, hogy a 3.5-ös átlagukon javíthassanak. </t>
  </si>
  <si>
    <t>Új funkció</t>
  </si>
  <si>
    <t>E pontszámító program korábbi változata a műszaki szakirány felvételi követelményeihez a 3,5-es átlagot úgy számolta, hogy a tantárgyakat kreditszámaik csökkenő sorrendjében vette figyelembe. (Ezt a szakirány választási szabályzat nem rögzíti egyértelműen.) A műszaki szakirány szakfelelőse -hallgatói kérésre- lehetővé tette, hogy a legjobb osztályzat a hallgató által legjobbnak tekintett -kredittel súlyozott- eredménye legyen. Ebben a verzióban már e szerint számol a program.</t>
  </si>
  <si>
    <t>20090615_01</t>
  </si>
  <si>
    <t>A program az 5 félév alatt megszerzett összes kredit kiszámításánál néhány, 6. félévben teljesített tárgy krediteit is beszámolta. Ez ellentmondásban volt a szabályzattal. A probléma akkor került felszínre, amikor a műszaki szakirányon a hallgatók becsatlakoztak volna a 6. félév végén. (Lásd a szabályzat 3.§ 1.a pontját.)</t>
  </si>
  <si>
    <t>20090615_02</t>
  </si>
  <si>
    <t>A program a műszaki szakirányra számított összpontnál a kerekítési hiba miatt kb. 0.05 ponttal többet mutatott. Azért, hogy a webes felületen számolt összpontszámmal század pontosságra megegyezzen az eredmény, kijavítottuk ezt a kerekítési hibát.</t>
  </si>
  <si>
    <t>20091110_01</t>
  </si>
  <si>
    <t>Apróbb formai javítások (két tizedessel történő megjelenítés) a Tervező szakirány számított pontjainak megjelenítésénél. A számítás eredményét ez nem befolyásolta.</t>
  </si>
  <si>
    <t>Szépészeti javítás: az Épületszerkezettan 5 tárgyhoz beírt osztályzat után kiíródott egy érték az M1 tárgyak oszlopában. A számítás eredményét ez nem befolyásolta.</t>
  </si>
  <si>
    <t>A Munkahelyek építészete tárgy osztályzatát a T1 csoportban a program minden esetben figyelembe vette. Ez hibás átlagot adott a T1 tárgyak átlagszámításánál.</t>
  </si>
  <si>
    <t>Szociológia (építészeknek)</t>
  </si>
  <si>
    <t>20091110_02</t>
  </si>
  <si>
    <t>A "Városszociológia" tárgy neve helyett a Neptunban szereplő "Szociológia (építészeknek)" tárgyelnevezés került be.</t>
  </si>
  <si>
    <t>A jegyellenőrzés a megadott hivatkozással nem működött (fejlesztési kapacitás hiányában), ezért a lap alján lévő hivatkozást nem jelenítjük meg.</t>
  </si>
  <si>
    <t>kreditek száma:</t>
  </si>
  <si>
    <t>20091110_03</t>
  </si>
  <si>
    <t>A program a C8-as cellában hibásan tartalmazta a táblázat verziószámát. Ezért az aktuális programverzió ellenőrzése (a táblázatban a linkre kattintva) nem történt meg.</t>
  </si>
  <si>
    <t>Oszt</t>
  </si>
  <si>
    <t>20091110_04</t>
  </si>
  <si>
    <t xml:space="preserve">Ha az M2-es tárgyakból sok jó osztályzatú volt, akkor a nagykreditű tárgyakat nem vette előre a program. Ez az átlagszámításnál néhány tizedes eltérést eredményezett. </t>
  </si>
  <si>
    <t>A műszaki tárgyaknál a kiválasztott legjobb tárgyak sorrendje nem egyezett meg a webes program által adott sorrenddel.</t>
  </si>
  <si>
    <t>20091110_05</t>
  </si>
  <si>
    <t>A G70-es cellában lévő kreditszám elé bekerül: "A Szabályzat 3.§ 1.a. pontja szerinti kreditek száma. (Sokan korábban az összes kreditet értették az itt feltüntetett értéknél.)</t>
  </si>
  <si>
    <t>A műszaki pontszám számítása közben két tizedesjegyre kerekítettünk már az átlagszámításnál (BH69-es cella). Ez a pontszámításnál egy-két tizedes eltérést eredményezett. A weblapon lévő számítással az eredmény azonos volt ugyan, de pontegyenlőség esetén vitára adhatott volna alkalmat. (A szabályzat a számítás "pontosságáról" nem rendelkezik.)</t>
  </si>
  <si>
    <t>M1, M2 tárgyak átlaga</t>
  </si>
  <si>
    <t>Néhány megjegyzést pontosítottunk.</t>
  </si>
  <si>
    <t>Szerkezeti szakirányhoz, súlyozott pont:</t>
  </si>
  <si>
    <t>Szerkezeti szigorlat</t>
  </si>
  <si>
    <t>20121027_01</t>
  </si>
  <si>
    <t>A cellák megjegyzéseinél a műszaki szakirány megjelölést szerkezeti szakirányra javítottuk.</t>
  </si>
  <si>
    <t>20121027_02</t>
  </si>
  <si>
    <t>A program indokolatlanul írta ki a V4-es cellába az alábbi üzenetet:</t>
  </si>
  <si>
    <t>"Kérem, küldje el a kitöltött excel táblázatot az szp@arch.bme.hu-ra."</t>
  </si>
  <si>
    <t>20121027_03</t>
  </si>
  <si>
    <t>A tervező szakirány pontjainak az összesítésénél a program rossz százalékokkal számolt.</t>
  </si>
  <si>
    <t xml:space="preserve">       SZAKIRÁNY VÁLASZTÁS  pontszámítás</t>
  </si>
  <si>
    <t>A cellák megjegyzéseinél (a 70. sorban) javvítottuk az elírást, a súlyszorzók hibásan voltak kiírva, de a számítás a szabályzat szerint történt.</t>
  </si>
  <si>
    <t>A tantárgycsoportok elnevezéseit az új szabályzatban használtaknak megfelelőre változtattuk.</t>
  </si>
  <si>
    <t>Kivettük a Szakirány Választási Szabályzat tábláját, a szabályzat szövege a kari honlapon található.</t>
  </si>
  <si>
    <t>T3*</t>
  </si>
  <si>
    <t>T3</t>
  </si>
  <si>
    <t>20150105_01</t>
  </si>
  <si>
    <t>M kr sorr</t>
  </si>
  <si>
    <t>20150105_02</t>
  </si>
  <si>
    <t>A legjobb, 30 kreditnyi műszaki tantárgyak közé az új szabályzat szerint az M2 típusú tantárgyak is beszámítanak. Az előző verziók (a korábbi szabványnak megfelelően) ezt nem vették figyelembe.</t>
  </si>
  <si>
    <t>szakir_pontszam_20150105_03</t>
  </si>
  <si>
    <t>A Szabályzat 4.§ 1. pontja szerinti</t>
  </si>
  <si>
    <t>20150105_03</t>
  </si>
  <si>
    <t xml:space="preserve">A C71-es cellában a hivatkozás rossz szabályzati pontot említett. Helyesen: 4.§ 1. pont </t>
  </si>
  <si>
    <t>dszanto@epitesz.bme.hu</t>
  </si>
  <si>
    <t>20160620_01 A 3,5-ös átlag ellenőrzésének törlése a dékáni döntés értelmében</t>
  </si>
  <si>
    <r>
      <t xml:space="preserve">Ha hibát talál a programban, akkor jelezze a </t>
    </r>
    <r>
      <rPr>
        <b/>
        <sz val="10"/>
        <rFont val="Century Gothic"/>
        <family val="2"/>
      </rPr>
      <t>dszanto</t>
    </r>
    <r>
      <rPr>
        <b/>
        <sz val="10"/>
        <rFont val="Century Gothic"/>
        <family val="2"/>
      </rPr>
      <t>@epitesz.bme.hu</t>
    </r>
    <r>
      <rPr>
        <sz val="10"/>
        <rFont val="Century Gothic"/>
        <family val="2"/>
      </rPr>
      <t xml:space="preserve"> címen!</t>
    </r>
  </si>
  <si>
    <t>A kitöltött Excel file-t is mellékelje!</t>
  </si>
</sst>
</file>

<file path=xl/styles.xml><?xml version="1.0" encoding="utf-8"?>
<styleSheet xmlns="http://schemas.openxmlformats.org/spreadsheetml/2006/main">
  <numFmts count="23">
    <numFmt numFmtId="5" formatCode="&quot;HUF&quot;#,##0;\-&quot;HUF&quot;#,##0"/>
    <numFmt numFmtId="6" formatCode="&quot;HUF&quot;#,##0;[Red]\-&quot;HUF&quot;#,##0"/>
    <numFmt numFmtId="7" formatCode="&quot;HUF&quot;#,##0.00;\-&quot;HUF&quot;#,##0.00"/>
    <numFmt numFmtId="8" formatCode="&quot;HUF&quot;#,##0.00;[Red]\-&quot;HUF&quot;#,##0.00"/>
    <numFmt numFmtId="42" formatCode="_-&quot;HUF&quot;* #,##0_-;\-&quot;HUF&quot;* #,##0_-;_-&quot;HUF&quot;* &quot;-&quot;_-;_-@_-"/>
    <numFmt numFmtId="41" formatCode="_-* #,##0_-;\-* #,##0_-;_-* &quot;-&quot;_-;_-@_-"/>
    <numFmt numFmtId="44" formatCode="_-&quot;HUF&quot;* #,##0.00_-;\-&quot;HUF&quot;* #,##0.00_-;_-&quot;HUF&quot;* &quot;-&quot;??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#0;\-##0;&quot;&quot;\ "/>
    <numFmt numFmtId="178" formatCode="#,##0;\-#,##0;&quot;&quot;\ "/>
  </numFmts>
  <fonts count="58">
    <font>
      <sz val="10"/>
      <name val="Arial"/>
      <family val="0"/>
    </font>
    <font>
      <sz val="8"/>
      <name val="Century Gothic"/>
      <family val="2"/>
    </font>
    <font>
      <sz val="8"/>
      <name val="Arial"/>
      <family val="2"/>
    </font>
    <font>
      <sz val="10"/>
      <color indexed="17"/>
      <name val="Wingdings"/>
      <family val="0"/>
    </font>
    <font>
      <b/>
      <sz val="8"/>
      <name val="Century Gothic"/>
      <family val="2"/>
    </font>
    <font>
      <sz val="10"/>
      <name val="Century Gothic"/>
      <family val="2"/>
    </font>
    <font>
      <b/>
      <sz val="9"/>
      <name val="Century Gothic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entury Gothic"/>
      <family val="2"/>
    </font>
    <font>
      <sz val="8"/>
      <color indexed="17"/>
      <name val="Century Gothic"/>
      <family val="2"/>
    </font>
    <font>
      <sz val="10"/>
      <color indexed="9"/>
      <name val="Arial"/>
      <family val="2"/>
    </font>
    <font>
      <b/>
      <sz val="10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entury Gothic"/>
      <family val="2"/>
    </font>
    <font>
      <b/>
      <sz val="9"/>
      <color indexed="10"/>
      <name val="Century Gothic"/>
      <family val="2"/>
    </font>
    <font>
      <u val="single"/>
      <sz val="10"/>
      <color indexed="12"/>
      <name val="Century Gothic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9"/>
      <name val="Century Gothic"/>
      <family val="2"/>
    </font>
    <font>
      <b/>
      <sz val="9"/>
      <color indexed="17"/>
      <name val="Century Gothic"/>
      <family val="2"/>
    </font>
    <font>
      <sz val="8"/>
      <name val="Tahoma"/>
      <family val="2"/>
    </font>
    <font>
      <u val="single"/>
      <sz val="10"/>
      <color indexed="9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6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1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368">
    <xf numFmtId="0" fontId="0" fillId="0" borderId="0" xfId="0" applyAlignment="1">
      <alignment/>
    </xf>
    <xf numFmtId="3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78" fontId="0" fillId="0" borderId="0" xfId="0" applyNumberFormat="1" applyAlignment="1" applyProtection="1">
      <alignment/>
      <protection hidden="1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2" fontId="9" fillId="0" borderId="0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vertical="top" wrapText="1"/>
      <protection/>
    </xf>
    <xf numFmtId="0" fontId="1" fillId="0" borderId="11" xfId="0" applyFont="1" applyBorder="1" applyAlignment="1" applyProtection="1">
      <alignment horizontal="left" vertical="top"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177" fontId="1" fillId="0" borderId="11" xfId="0" applyNumberFormat="1" applyFont="1" applyBorder="1" applyAlignment="1" applyProtection="1">
      <alignment horizontal="center" vertical="top" wrapText="1"/>
      <protection/>
    </xf>
    <xf numFmtId="177" fontId="1" fillId="0" borderId="12" xfId="0" applyNumberFormat="1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vertical="top" wrapText="1"/>
      <protection/>
    </xf>
    <xf numFmtId="0" fontId="1" fillId="0" borderId="10" xfId="0" applyFont="1" applyBorder="1" applyAlignment="1" applyProtection="1">
      <alignment horizontal="left" vertical="top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177" fontId="1" fillId="0" borderId="10" xfId="0" applyNumberFormat="1" applyFont="1" applyBorder="1" applyAlignment="1" applyProtection="1">
      <alignment horizontal="center" vertical="top" wrapText="1"/>
      <protection/>
    </xf>
    <xf numFmtId="177" fontId="1" fillId="0" borderId="15" xfId="0" applyNumberFormat="1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1" fillId="34" borderId="10" xfId="0" applyFont="1" applyFill="1" applyBorder="1" applyAlignment="1" applyProtection="1">
      <alignment vertical="top" wrapText="1"/>
      <protection/>
    </xf>
    <xf numFmtId="0" fontId="1" fillId="35" borderId="10" xfId="0" applyFont="1" applyFill="1" applyBorder="1" applyAlignment="1" applyProtection="1">
      <alignment vertical="top" wrapText="1"/>
      <protection/>
    </xf>
    <xf numFmtId="177" fontId="1" fillId="0" borderId="18" xfId="0" applyNumberFormat="1" applyFont="1" applyBorder="1" applyAlignment="1" applyProtection="1">
      <alignment horizontal="center" vertical="top" wrapText="1"/>
      <protection/>
    </xf>
    <xf numFmtId="0" fontId="1" fillId="36" borderId="10" xfId="0" applyFont="1" applyFill="1" applyBorder="1" applyAlignment="1" applyProtection="1">
      <alignment vertical="top" wrapText="1"/>
      <protection/>
    </xf>
    <xf numFmtId="0" fontId="1" fillId="37" borderId="10" xfId="0" applyFont="1" applyFill="1" applyBorder="1" applyAlignment="1" applyProtection="1">
      <alignment vertical="top" wrapText="1"/>
      <protection/>
    </xf>
    <xf numFmtId="0" fontId="1" fillId="37" borderId="19" xfId="0" applyFont="1" applyFill="1" applyBorder="1" applyAlignment="1" applyProtection="1">
      <alignment vertical="top" wrapText="1"/>
      <protection/>
    </xf>
    <xf numFmtId="0" fontId="1" fillId="0" borderId="19" xfId="0" applyFont="1" applyBorder="1" applyAlignment="1" applyProtection="1">
      <alignment horizontal="left" vertical="top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" fillId="0" borderId="19" xfId="0" applyFont="1" applyBorder="1" applyAlignment="1" applyProtection="1">
      <alignment horizontal="center" vertical="top" wrapText="1"/>
      <protection/>
    </xf>
    <xf numFmtId="177" fontId="1" fillId="0" borderId="19" xfId="0" applyNumberFormat="1" applyFont="1" applyBorder="1" applyAlignment="1" applyProtection="1">
      <alignment horizontal="center" vertical="top" wrapText="1"/>
      <protection/>
    </xf>
    <xf numFmtId="177" fontId="1" fillId="0" borderId="20" xfId="0" applyNumberFormat="1" applyFont="1" applyBorder="1" applyAlignment="1" applyProtection="1">
      <alignment horizontal="center" vertical="top" wrapText="1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177" fontId="1" fillId="0" borderId="0" xfId="0" applyNumberFormat="1" applyFont="1" applyBorder="1" applyAlignment="1" applyProtection="1">
      <alignment horizontal="center" vertical="top" wrapText="1"/>
      <protection/>
    </xf>
    <xf numFmtId="177" fontId="1" fillId="0" borderId="23" xfId="0" applyNumberFormat="1" applyFont="1" applyBorder="1" applyAlignment="1" applyProtection="1">
      <alignment horizontal="center" vertical="top" wrapText="1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1" fillId="35" borderId="10" xfId="0" applyFont="1" applyFill="1" applyBorder="1" applyAlignment="1" applyProtection="1">
      <alignment horizontal="left" vertical="top" wrapText="1"/>
      <protection/>
    </xf>
    <xf numFmtId="0" fontId="1" fillId="35" borderId="10" xfId="0" applyFont="1" applyFill="1" applyBorder="1" applyAlignment="1" applyProtection="1">
      <alignment horizontal="center" wrapText="1"/>
      <protection/>
    </xf>
    <xf numFmtId="0" fontId="1" fillId="35" borderId="10" xfId="0" applyFont="1" applyFill="1" applyBorder="1" applyAlignment="1" applyProtection="1">
      <alignment horizontal="center" vertical="top" wrapText="1"/>
      <protection/>
    </xf>
    <xf numFmtId="0" fontId="1" fillId="34" borderId="0" xfId="0" applyFont="1" applyFill="1" applyBorder="1" applyAlignment="1" applyProtection="1">
      <alignment vertical="top" wrapText="1"/>
      <protection/>
    </xf>
    <xf numFmtId="0" fontId="1" fillId="37" borderId="10" xfId="0" applyFont="1" applyFill="1" applyBorder="1" applyAlignment="1" applyProtection="1">
      <alignment horizontal="left" vertical="top" wrapText="1"/>
      <protection/>
    </xf>
    <xf numFmtId="0" fontId="1" fillId="37" borderId="10" xfId="0" applyFont="1" applyFill="1" applyBorder="1" applyAlignment="1" applyProtection="1">
      <alignment horizontal="center" wrapText="1"/>
      <protection/>
    </xf>
    <xf numFmtId="0" fontId="1" fillId="37" borderId="10" xfId="0" applyFont="1" applyFill="1" applyBorder="1" applyAlignment="1" applyProtection="1">
      <alignment horizontal="center" vertical="top" wrapText="1"/>
      <protection/>
    </xf>
    <xf numFmtId="0" fontId="1" fillId="0" borderId="18" xfId="0" applyFont="1" applyBorder="1" applyAlignment="1" applyProtection="1">
      <alignment horizontal="left" vertical="top" wrapText="1"/>
      <protection/>
    </xf>
    <xf numFmtId="0" fontId="1" fillId="0" borderId="18" xfId="0" applyFont="1" applyBorder="1" applyAlignment="1" applyProtection="1">
      <alignment horizontal="center" wrapText="1"/>
      <protection/>
    </xf>
    <xf numFmtId="0" fontId="1" fillId="0" borderId="18" xfId="0" applyFont="1" applyBorder="1" applyAlignment="1" applyProtection="1">
      <alignment horizontal="center" vertical="top" wrapText="1"/>
      <protection/>
    </xf>
    <xf numFmtId="177" fontId="1" fillId="0" borderId="18" xfId="0" applyNumberFormat="1" applyFont="1" applyFill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1" fillId="38" borderId="18" xfId="0" applyFont="1" applyFill="1" applyBorder="1" applyAlignment="1" applyProtection="1">
      <alignment/>
      <protection/>
    </xf>
    <xf numFmtId="0" fontId="1" fillId="38" borderId="10" xfId="0" applyFont="1" applyFill="1" applyBorder="1" applyAlignment="1" applyProtection="1">
      <alignment vertical="top" wrapText="1"/>
      <protection/>
    </xf>
    <xf numFmtId="0" fontId="5" fillId="38" borderId="10" xfId="0" applyFont="1" applyFill="1" applyBorder="1" applyAlignment="1" applyProtection="1">
      <alignment horizontal="left"/>
      <protection/>
    </xf>
    <xf numFmtId="0" fontId="5" fillId="38" borderId="10" xfId="0" applyFont="1" applyFill="1" applyBorder="1" applyAlignment="1" applyProtection="1">
      <alignment/>
      <protection/>
    </xf>
    <xf numFmtId="0" fontId="1" fillId="38" borderId="10" xfId="0" applyFont="1" applyFill="1" applyBorder="1" applyAlignment="1" applyProtection="1">
      <alignment/>
      <protection/>
    </xf>
    <xf numFmtId="2" fontId="1" fillId="38" borderId="18" xfId="0" applyNumberFormat="1" applyFont="1" applyFill="1" applyBorder="1" applyAlignment="1" applyProtection="1">
      <alignment horizontal="center"/>
      <protection/>
    </xf>
    <xf numFmtId="0" fontId="1" fillId="38" borderId="17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1" fillId="38" borderId="13" xfId="0" applyFont="1" applyFill="1" applyBorder="1" applyAlignment="1" applyProtection="1">
      <alignment horizontal="center"/>
      <protection/>
    </xf>
    <xf numFmtId="1" fontId="1" fillId="38" borderId="11" xfId="0" applyNumberFormat="1" applyFont="1" applyFill="1" applyBorder="1" applyAlignment="1" applyProtection="1">
      <alignment horizontal="center"/>
      <protection/>
    </xf>
    <xf numFmtId="0" fontId="1" fillId="38" borderId="18" xfId="0" applyFont="1" applyFill="1" applyBorder="1" applyAlignment="1" applyProtection="1">
      <alignment vertical="top" wrapText="1"/>
      <protection/>
    </xf>
    <xf numFmtId="0" fontId="5" fillId="38" borderId="18" xfId="0" applyFont="1" applyFill="1" applyBorder="1" applyAlignment="1" applyProtection="1">
      <alignment horizontal="left"/>
      <protection/>
    </xf>
    <xf numFmtId="0" fontId="5" fillId="38" borderId="18" xfId="0" applyFont="1" applyFill="1" applyBorder="1" applyAlignment="1" applyProtection="1">
      <alignment/>
      <protection/>
    </xf>
    <xf numFmtId="0" fontId="1" fillId="38" borderId="16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right" vertical="top" wrapText="1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1" fillId="38" borderId="1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35" borderId="0" xfId="0" applyFont="1" applyFill="1" applyBorder="1" applyAlignment="1" applyProtection="1">
      <alignment horizontal="center"/>
      <protection/>
    </xf>
    <xf numFmtId="0" fontId="1" fillId="35" borderId="0" xfId="0" applyFont="1" applyFill="1" applyBorder="1" applyAlignment="1" applyProtection="1">
      <alignment vertical="top" wrapText="1"/>
      <protection/>
    </xf>
    <xf numFmtId="0" fontId="1" fillId="37" borderId="0" xfId="0" applyFont="1" applyFill="1" applyBorder="1" applyAlignment="1" applyProtection="1">
      <alignment horizontal="center"/>
      <protection/>
    </xf>
    <xf numFmtId="0" fontId="1" fillId="37" borderId="0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" fillId="38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4" borderId="10" xfId="0" applyFont="1" applyFill="1" applyBorder="1" applyAlignment="1" applyProtection="1">
      <alignment horizontal="center"/>
      <protection/>
    </xf>
    <xf numFmtId="0" fontId="1" fillId="35" borderId="10" xfId="0" applyFont="1" applyFill="1" applyBorder="1" applyAlignment="1" applyProtection="1">
      <alignment horizontal="center"/>
      <protection/>
    </xf>
    <xf numFmtId="0" fontId="1" fillId="36" borderId="10" xfId="0" applyFont="1" applyFill="1" applyBorder="1" applyAlignment="1" applyProtection="1">
      <alignment horizontal="center"/>
      <protection/>
    </xf>
    <xf numFmtId="0" fontId="1" fillId="37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 vertical="top" wrapText="1"/>
      <protection locked="0"/>
    </xf>
    <xf numFmtId="0" fontId="1" fillId="33" borderId="10" xfId="0" applyFont="1" applyFill="1" applyBorder="1" applyAlignment="1" applyProtection="1">
      <alignment horizontal="center" vertical="top" wrapText="1"/>
      <protection locked="0"/>
    </xf>
    <xf numFmtId="0" fontId="10" fillId="0" borderId="10" xfId="0" applyFont="1" applyFill="1" applyBorder="1" applyAlignment="1" applyProtection="1">
      <alignment horizontal="center" vertical="top" wrapText="1"/>
      <protection hidden="1" locked="0"/>
    </xf>
    <xf numFmtId="0" fontId="1" fillId="34" borderId="10" xfId="0" applyFont="1" applyFill="1" applyBorder="1" applyAlignment="1" applyProtection="1">
      <alignment horizontal="center" vertical="top" wrapText="1"/>
      <protection locked="0"/>
    </xf>
    <xf numFmtId="0" fontId="1" fillId="35" borderId="10" xfId="0" applyFont="1" applyFill="1" applyBorder="1" applyAlignment="1" applyProtection="1">
      <alignment horizontal="center" vertical="top" wrapText="1"/>
      <protection locked="0"/>
    </xf>
    <xf numFmtId="0" fontId="1" fillId="36" borderId="10" xfId="0" applyFont="1" applyFill="1" applyBorder="1" applyAlignment="1" applyProtection="1">
      <alignment horizontal="center" vertical="top" wrapText="1"/>
      <protection locked="0"/>
    </xf>
    <xf numFmtId="0" fontId="1" fillId="37" borderId="10" xfId="0" applyFont="1" applyFill="1" applyBorder="1" applyAlignment="1" applyProtection="1">
      <alignment horizontal="center" vertical="top" wrapText="1"/>
      <protection locked="0"/>
    </xf>
    <xf numFmtId="0" fontId="1" fillId="37" borderId="19" xfId="0" applyFont="1" applyFill="1" applyBorder="1" applyAlignment="1" applyProtection="1">
      <alignment horizontal="center" vertical="top" wrapText="1"/>
      <protection locked="0"/>
    </xf>
    <xf numFmtId="0" fontId="10" fillId="0" borderId="19" xfId="0" applyFont="1" applyFill="1" applyBorder="1" applyAlignment="1" applyProtection="1">
      <alignment horizontal="center" vertical="top" wrapText="1"/>
      <protection hidden="1" locked="0"/>
    </xf>
    <xf numFmtId="0" fontId="1" fillId="33" borderId="0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Border="1" applyAlignment="1" applyProtection="1">
      <alignment horizontal="center" vertical="top" wrapText="1"/>
      <protection hidden="1" locked="0"/>
    </xf>
    <xf numFmtId="0" fontId="1" fillId="34" borderId="0" xfId="0" applyFont="1" applyFill="1" applyBorder="1" applyAlignment="1" applyProtection="1">
      <alignment horizontal="center" vertical="top" wrapText="1"/>
      <protection locked="0"/>
    </xf>
    <xf numFmtId="0" fontId="10" fillId="0" borderId="18" xfId="0" applyFont="1" applyFill="1" applyBorder="1" applyAlignment="1" applyProtection="1">
      <alignment horizontal="center" vertical="top" wrapText="1"/>
      <protection hidden="1" locked="0"/>
    </xf>
    <xf numFmtId="0" fontId="12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/>
      <protection/>
    </xf>
    <xf numFmtId="177" fontId="1" fillId="0" borderId="10" xfId="0" applyNumberFormat="1" applyFont="1" applyFill="1" applyBorder="1" applyAlignment="1" applyProtection="1">
      <alignment horizontal="center" vertical="top" wrapText="1"/>
      <protection/>
    </xf>
    <xf numFmtId="0" fontId="1" fillId="33" borderId="18" xfId="0" applyFont="1" applyFill="1" applyBorder="1" applyAlignment="1" applyProtection="1">
      <alignment horizontal="center"/>
      <protection/>
    </xf>
    <xf numFmtId="0" fontId="1" fillId="37" borderId="27" xfId="0" applyFont="1" applyFill="1" applyBorder="1" applyAlignment="1" applyProtection="1">
      <alignment horizontal="center"/>
      <protection/>
    </xf>
    <xf numFmtId="0" fontId="1" fillId="34" borderId="18" xfId="0" applyFont="1" applyFill="1" applyBorder="1" applyAlignment="1" applyProtection="1">
      <alignment horizontal="center"/>
      <protection/>
    </xf>
    <xf numFmtId="177" fontId="1" fillId="39" borderId="17" xfId="0" applyNumberFormat="1" applyFont="1" applyFill="1" applyBorder="1" applyAlignment="1" applyProtection="1">
      <alignment horizontal="center" vertical="top" wrapText="1"/>
      <protection/>
    </xf>
    <xf numFmtId="2" fontId="4" fillId="37" borderId="16" xfId="0" applyNumberFormat="1" applyFont="1" applyFill="1" applyBorder="1" applyAlignment="1" applyProtection="1">
      <alignment horizontal="center"/>
      <protection/>
    </xf>
    <xf numFmtId="2" fontId="4" fillId="37" borderId="10" xfId="0" applyNumberFormat="1" applyFont="1" applyFill="1" applyBorder="1" applyAlignment="1" applyProtection="1">
      <alignment horizontal="center"/>
      <protection/>
    </xf>
    <xf numFmtId="2" fontId="6" fillId="38" borderId="11" xfId="0" applyNumberFormat="1" applyFont="1" applyFill="1" applyBorder="1" applyAlignment="1" applyProtection="1">
      <alignment horizontal="center"/>
      <protection/>
    </xf>
    <xf numFmtId="2" fontId="6" fillId="35" borderId="15" xfId="0" applyNumberFormat="1" applyFont="1" applyFill="1" applyBorder="1" applyAlignment="1" applyProtection="1">
      <alignment horizontal="center"/>
      <protection/>
    </xf>
    <xf numFmtId="2" fontId="6" fillId="35" borderId="26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Alignment="1" applyProtection="1" quotePrefix="1">
      <alignment horizontal="left"/>
      <protection/>
    </xf>
    <xf numFmtId="177" fontId="1" fillId="40" borderId="16" xfId="0" applyNumberFormat="1" applyFont="1" applyFill="1" applyBorder="1" applyAlignment="1" applyProtection="1">
      <alignment horizontal="center" vertical="top" wrapText="1"/>
      <protection/>
    </xf>
    <xf numFmtId="177" fontId="1" fillId="40" borderId="10" xfId="0" applyNumberFormat="1" applyFont="1" applyFill="1" applyBorder="1" applyAlignment="1" applyProtection="1">
      <alignment horizontal="center" vertical="top" wrapText="1"/>
      <protection/>
    </xf>
    <xf numFmtId="177" fontId="1" fillId="40" borderId="27" xfId="0" applyNumberFormat="1" applyFont="1" applyFill="1" applyBorder="1" applyAlignment="1" applyProtection="1">
      <alignment horizontal="center" vertical="top" wrapText="1"/>
      <protection/>
    </xf>
    <xf numFmtId="177" fontId="1" fillId="40" borderId="19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vertical="top"/>
      <protection/>
    </xf>
    <xf numFmtId="0" fontId="5" fillId="0" borderId="0" xfId="0" applyFont="1" applyAlignment="1" applyProtection="1">
      <alignment/>
      <protection/>
    </xf>
    <xf numFmtId="2" fontId="1" fillId="37" borderId="0" xfId="0" applyNumberFormat="1" applyFont="1" applyFill="1" applyBorder="1" applyAlignment="1" applyProtection="1">
      <alignment vertical="top" wrapText="1"/>
      <protection/>
    </xf>
    <xf numFmtId="2" fontId="1" fillId="35" borderId="0" xfId="0" applyNumberFormat="1" applyFont="1" applyFill="1" applyBorder="1" applyAlignment="1" applyProtection="1">
      <alignment vertical="top" wrapText="1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1" fillId="0" borderId="0" xfId="0" applyNumberFormat="1" applyFont="1" applyFill="1" applyBorder="1" applyAlignment="1" applyProtection="1">
      <alignment horizontal="right"/>
      <protection/>
    </xf>
    <xf numFmtId="2" fontId="1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left"/>
      <protection/>
    </xf>
    <xf numFmtId="2" fontId="6" fillId="0" borderId="0" xfId="0" applyNumberFormat="1" applyFont="1" applyFill="1" applyBorder="1" applyAlignment="1" applyProtection="1">
      <alignment horizontal="right"/>
      <protection/>
    </xf>
    <xf numFmtId="0" fontId="12" fillId="41" borderId="0" xfId="0" applyFont="1" applyFill="1" applyAlignment="1" applyProtection="1" quotePrefix="1">
      <alignment/>
      <protection/>
    </xf>
    <xf numFmtId="0" fontId="5" fillId="41" borderId="0" xfId="0" applyFont="1" applyFill="1" applyAlignment="1" applyProtection="1">
      <alignment horizontal="center" vertical="top"/>
      <protection/>
    </xf>
    <xf numFmtId="0" fontId="12" fillId="41" borderId="0" xfId="0" applyFont="1" applyFill="1" applyAlignment="1" applyProtection="1">
      <alignment/>
      <protection/>
    </xf>
    <xf numFmtId="0" fontId="13" fillId="0" borderId="0" xfId="43" applyFill="1" applyBorder="1" applyAlignment="1" applyProtection="1">
      <alignment horizontal="center"/>
      <protection/>
    </xf>
    <xf numFmtId="0" fontId="5" fillId="42" borderId="0" xfId="0" applyFont="1" applyFill="1" applyAlignment="1" applyProtection="1">
      <alignment/>
      <protection/>
    </xf>
    <xf numFmtId="0" fontId="5" fillId="42" borderId="0" xfId="0" applyFont="1" applyFill="1" applyAlignment="1" applyProtection="1">
      <alignment horizontal="center" vertical="top"/>
      <protection/>
    </xf>
    <xf numFmtId="0" fontId="12" fillId="0" borderId="0" xfId="0" applyFont="1" applyFill="1" applyAlignment="1" applyProtection="1" quotePrefix="1">
      <alignment/>
      <protection/>
    </xf>
    <xf numFmtId="0" fontId="1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 vertical="top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177" fontId="1" fillId="43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44" borderId="0" xfId="0" applyFont="1" applyFill="1" applyAlignment="1" applyProtection="1">
      <alignment horizontal="left" vertical="top" wrapText="1"/>
      <protection/>
    </xf>
    <xf numFmtId="0" fontId="1" fillId="42" borderId="0" xfId="0" applyFont="1" applyFill="1" applyAlignment="1" applyProtection="1">
      <alignment horizontal="left" vertical="top" wrapText="1"/>
      <protection/>
    </xf>
    <xf numFmtId="0" fontId="13" fillId="0" borderId="0" xfId="43" applyAlignment="1" applyProtection="1">
      <alignment horizontal="center"/>
      <protection/>
    </xf>
    <xf numFmtId="0" fontId="7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3" fontId="0" fillId="34" borderId="0" xfId="0" applyNumberFormat="1" applyFill="1" applyAlignment="1" applyProtection="1">
      <alignment/>
      <protection hidden="1"/>
    </xf>
    <xf numFmtId="0" fontId="8" fillId="34" borderId="0" xfId="0" applyFont="1" applyFill="1" applyBorder="1" applyAlignment="1" applyProtection="1">
      <alignment/>
      <protection/>
    </xf>
    <xf numFmtId="0" fontId="17" fillId="0" borderId="0" xfId="43" applyFont="1" applyAlignment="1" applyProtection="1">
      <alignment horizontal="center" vertical="top"/>
      <protection/>
    </xf>
    <xf numFmtId="0" fontId="5" fillId="38" borderId="0" xfId="0" applyFont="1" applyFill="1" applyAlignment="1" applyProtection="1">
      <alignment/>
      <protection/>
    </xf>
    <xf numFmtId="0" fontId="5" fillId="38" borderId="0" xfId="0" applyFont="1" applyFill="1" applyAlignment="1" applyProtection="1">
      <alignment horizontal="left" vertical="top"/>
      <protection/>
    </xf>
    <xf numFmtId="0" fontId="1" fillId="0" borderId="18" xfId="0" applyFont="1" applyFill="1" applyBorder="1" applyAlignment="1" applyProtection="1">
      <alignment horizontal="center"/>
      <protection/>
    </xf>
    <xf numFmtId="177" fontId="1" fillId="40" borderId="18" xfId="0" applyNumberFormat="1" applyFont="1" applyFill="1" applyBorder="1" applyAlignment="1" applyProtection="1">
      <alignment horizontal="center" vertical="top" wrapText="1"/>
      <protection/>
    </xf>
    <xf numFmtId="0" fontId="1" fillId="0" borderId="27" xfId="0" applyFont="1" applyBorder="1" applyAlignment="1" applyProtection="1">
      <alignment horizontal="center"/>
      <protection/>
    </xf>
    <xf numFmtId="177" fontId="0" fillId="0" borderId="19" xfId="0" applyNumberFormat="1" applyBorder="1" applyAlignment="1" applyProtection="1">
      <alignment/>
      <protection hidden="1"/>
    </xf>
    <xf numFmtId="178" fontId="0" fillId="0" borderId="19" xfId="0" applyNumberFormat="1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left" vertical="top" wrapText="1" readingOrder="1"/>
      <protection/>
    </xf>
    <xf numFmtId="0" fontId="4" fillId="0" borderId="0" xfId="0" applyFont="1" applyBorder="1" applyAlignment="1" applyProtection="1">
      <alignment horizontal="center"/>
      <protection/>
    </xf>
    <xf numFmtId="177" fontId="1" fillId="39" borderId="0" xfId="0" applyNumberFormat="1" applyFont="1" applyFill="1" applyBorder="1" applyAlignment="1" applyProtection="1">
      <alignment horizontal="center" vertical="top" wrapText="1"/>
      <protection/>
    </xf>
    <xf numFmtId="177" fontId="0" fillId="0" borderId="0" xfId="0" applyNumberFormat="1" applyBorder="1" applyAlignment="1" applyProtection="1">
      <alignment/>
      <protection hidden="1"/>
    </xf>
    <xf numFmtId="178" fontId="12" fillId="38" borderId="24" xfId="0" applyNumberFormat="1" applyFont="1" applyFill="1" applyBorder="1" applyAlignment="1" applyProtection="1">
      <alignment horizontal="center"/>
      <protection hidden="1"/>
    </xf>
    <xf numFmtId="178" fontId="12" fillId="38" borderId="0" xfId="0" applyNumberFormat="1" applyFont="1" applyFill="1" applyBorder="1" applyAlignment="1" applyProtection="1">
      <alignment horizontal="center"/>
      <protection hidden="1"/>
    </xf>
    <xf numFmtId="178" fontId="12" fillId="38" borderId="23" xfId="0" applyNumberFormat="1" applyFont="1" applyFill="1" applyBorder="1" applyAlignment="1" applyProtection="1">
      <alignment horizontal="center"/>
      <protection hidden="1"/>
    </xf>
    <xf numFmtId="0" fontId="5" fillId="38" borderId="28" xfId="0" applyFont="1" applyFill="1" applyBorder="1" applyAlignment="1" applyProtection="1">
      <alignment horizontal="center"/>
      <protection hidden="1"/>
    </xf>
    <xf numFmtId="0" fontId="5" fillId="38" borderId="18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2" fillId="0" borderId="0" xfId="0" applyNumberFormat="1" applyFont="1" applyBorder="1" applyAlignment="1" applyProtection="1">
      <alignment/>
      <protection/>
    </xf>
    <xf numFmtId="0" fontId="1" fillId="45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4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18" fillId="33" borderId="0" xfId="0" applyFont="1" applyFill="1" applyBorder="1" applyAlignment="1" applyProtection="1">
      <alignment horizontal="center"/>
      <protection/>
    </xf>
    <xf numFmtId="0" fontId="1" fillId="45" borderId="24" xfId="0" applyNumberFormat="1" applyFont="1" applyFill="1" applyBorder="1" applyAlignment="1" applyProtection="1">
      <alignment horizontal="center"/>
      <protection/>
    </xf>
    <xf numFmtId="0" fontId="2" fillId="45" borderId="16" xfId="0" applyNumberFormat="1" applyFont="1" applyFill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 hidden="1"/>
    </xf>
    <xf numFmtId="177" fontId="1" fillId="44" borderId="0" xfId="0" applyNumberFormat="1" applyFont="1" applyFill="1" applyBorder="1" applyAlignment="1" applyProtection="1">
      <alignment horizontal="center" vertical="top" wrapText="1"/>
      <protection/>
    </xf>
    <xf numFmtId="0" fontId="1" fillId="44" borderId="0" xfId="0" applyNumberFormat="1" applyFont="1" applyFill="1" applyBorder="1" applyAlignment="1" applyProtection="1">
      <alignment horizontal="center" vertical="top" wrapText="1"/>
      <protection/>
    </xf>
    <xf numFmtId="177" fontId="4" fillId="40" borderId="10" xfId="0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Alignment="1" applyProtection="1">
      <alignment/>
      <protection hidden="1"/>
    </xf>
    <xf numFmtId="3" fontId="5" fillId="38" borderId="18" xfId="0" applyNumberFormat="1" applyFont="1" applyFill="1" applyBorder="1" applyAlignment="1" applyProtection="1">
      <alignment/>
      <protection hidden="1"/>
    </xf>
    <xf numFmtId="0" fontId="15" fillId="39" borderId="0" xfId="0" applyFont="1" applyFill="1" applyAlignment="1" applyProtection="1">
      <alignment/>
      <protection/>
    </xf>
    <xf numFmtId="0" fontId="5" fillId="39" borderId="0" xfId="0" applyFont="1" applyFill="1" applyAlignment="1" applyProtection="1">
      <alignment horizontal="center" vertical="top"/>
      <protection/>
    </xf>
    <xf numFmtId="0" fontId="1" fillId="39" borderId="0" xfId="0" applyFont="1" applyFill="1" applyAlignment="1" applyProtection="1">
      <alignment horizontal="left" vertical="top" wrapText="1"/>
      <protection/>
    </xf>
    <xf numFmtId="0" fontId="1" fillId="37" borderId="27" xfId="0" applyFont="1" applyFill="1" applyBorder="1" applyAlignment="1" applyProtection="1">
      <alignment vertical="top" wrapText="1"/>
      <protection/>
    </xf>
    <xf numFmtId="177" fontId="1" fillId="0" borderId="19" xfId="0" applyNumberFormat="1" applyFont="1" applyFill="1" applyBorder="1" applyAlignment="1" applyProtection="1">
      <alignment horizontal="center" vertical="top" wrapText="1"/>
      <protection/>
    </xf>
    <xf numFmtId="0" fontId="2" fillId="0" borderId="27" xfId="0" applyFont="1" applyBorder="1" applyAlignment="1" applyProtection="1">
      <alignment horizontal="center"/>
      <protection/>
    </xf>
    <xf numFmtId="0" fontId="1" fillId="0" borderId="27" xfId="0" applyFont="1" applyFill="1" applyBorder="1" applyAlignment="1" applyProtection="1">
      <alignment horizontal="center"/>
      <protection/>
    </xf>
    <xf numFmtId="178" fontId="5" fillId="38" borderId="24" xfId="0" applyNumberFormat="1" applyFont="1" applyFill="1" applyBorder="1" applyAlignment="1" applyProtection="1">
      <alignment horizontal="center"/>
      <protection hidden="1"/>
    </xf>
    <xf numFmtId="0" fontId="1" fillId="38" borderId="26" xfId="0" applyFont="1" applyFill="1" applyBorder="1" applyAlignment="1" applyProtection="1">
      <alignment/>
      <protection/>
    </xf>
    <xf numFmtId="2" fontId="1" fillId="38" borderId="28" xfId="0" applyNumberFormat="1" applyFont="1" applyFill="1" applyBorder="1" applyAlignment="1" applyProtection="1">
      <alignment horizontal="center"/>
      <protection/>
    </xf>
    <xf numFmtId="1" fontId="1" fillId="38" borderId="0" xfId="0" applyNumberFormat="1" applyFont="1" applyFill="1" applyBorder="1" applyAlignment="1" applyProtection="1">
      <alignment horizontal="center"/>
      <protection/>
    </xf>
    <xf numFmtId="0" fontId="6" fillId="35" borderId="29" xfId="0" applyFont="1" applyFill="1" applyBorder="1" applyAlignment="1" applyProtection="1">
      <alignment horizontal="center"/>
      <protection/>
    </xf>
    <xf numFmtId="0" fontId="1" fillId="0" borderId="30" xfId="0" applyFont="1" applyFill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left" vertical="top" wrapText="1"/>
      <protection/>
    </xf>
    <xf numFmtId="0" fontId="1" fillId="0" borderId="30" xfId="0" applyFont="1" applyBorder="1" applyAlignment="1" applyProtection="1">
      <alignment horizontal="center" wrapText="1"/>
      <protection/>
    </xf>
    <xf numFmtId="0" fontId="1" fillId="0" borderId="30" xfId="0" applyFont="1" applyBorder="1" applyAlignment="1" applyProtection="1">
      <alignment horizontal="center" vertical="top" wrapText="1"/>
      <protection/>
    </xf>
    <xf numFmtId="0" fontId="10" fillId="0" borderId="30" xfId="0" applyFont="1" applyFill="1" applyBorder="1" applyAlignment="1" applyProtection="1">
      <alignment horizontal="center" vertical="top" wrapText="1"/>
      <protection hidden="1" locked="0"/>
    </xf>
    <xf numFmtId="177" fontId="1" fillId="0" borderId="30" xfId="0" applyNumberFormat="1" applyFont="1" applyFill="1" applyBorder="1" applyAlignment="1" applyProtection="1">
      <alignment horizontal="center" vertical="top" wrapText="1"/>
      <protection/>
    </xf>
    <xf numFmtId="177" fontId="1" fillId="0" borderId="30" xfId="0" applyNumberFormat="1" applyFont="1" applyBorder="1" applyAlignment="1" applyProtection="1">
      <alignment horizontal="center" vertical="top" wrapText="1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177" fontId="1" fillId="0" borderId="0" xfId="0" applyNumberFormat="1" applyFont="1" applyFill="1" applyBorder="1" applyAlignment="1" applyProtection="1">
      <alignment horizontal="center" vertical="top" wrapText="1"/>
      <protection/>
    </xf>
    <xf numFmtId="177" fontId="0" fillId="0" borderId="11" xfId="0" applyNumberFormat="1" applyBorder="1" applyAlignment="1" applyProtection="1">
      <alignment/>
      <protection hidden="1"/>
    </xf>
    <xf numFmtId="178" fontId="0" fillId="0" borderId="11" xfId="0" applyNumberFormat="1" applyBorder="1" applyAlignment="1" applyProtection="1">
      <alignment/>
      <protection hidden="1"/>
    </xf>
    <xf numFmtId="177" fontId="0" fillId="0" borderId="18" xfId="0" applyNumberFormat="1" applyBorder="1" applyAlignment="1" applyProtection="1">
      <alignment/>
      <protection hidden="1"/>
    </xf>
    <xf numFmtId="178" fontId="0" fillId="0" borderId="18" xfId="0" applyNumberFormat="1" applyBorder="1" applyAlignment="1" applyProtection="1">
      <alignment/>
      <protection hidden="1"/>
    </xf>
    <xf numFmtId="0" fontId="2" fillId="0" borderId="32" xfId="0" applyFont="1" applyBorder="1" applyAlignment="1" applyProtection="1">
      <alignment horizontal="center"/>
      <protection/>
    </xf>
    <xf numFmtId="0" fontId="1" fillId="35" borderId="18" xfId="0" applyFont="1" applyFill="1" applyBorder="1" applyAlignment="1" applyProtection="1">
      <alignment horizontal="center"/>
      <protection/>
    </xf>
    <xf numFmtId="0" fontId="1" fillId="35" borderId="18" xfId="0" applyFont="1" applyFill="1" applyBorder="1" applyAlignment="1" applyProtection="1">
      <alignment vertical="top" wrapText="1"/>
      <protection/>
    </xf>
    <xf numFmtId="0" fontId="1" fillId="35" borderId="27" xfId="0" applyFont="1" applyFill="1" applyBorder="1" applyAlignment="1" applyProtection="1">
      <alignment horizontal="center"/>
      <protection/>
    </xf>
    <xf numFmtId="0" fontId="1" fillId="35" borderId="27" xfId="0" applyFont="1" applyFill="1" applyBorder="1" applyAlignment="1" applyProtection="1">
      <alignment vertical="top" wrapText="1"/>
      <protection/>
    </xf>
    <xf numFmtId="0" fontId="1" fillId="35" borderId="30" xfId="0" applyFont="1" applyFill="1" applyBorder="1" applyAlignment="1" applyProtection="1">
      <alignment horizontal="center"/>
      <protection/>
    </xf>
    <xf numFmtId="0" fontId="1" fillId="35" borderId="30" xfId="0" applyFont="1" applyFill="1" applyBorder="1" applyAlignment="1" applyProtection="1">
      <alignment vertical="top" wrapText="1"/>
      <protection/>
    </xf>
    <xf numFmtId="0" fontId="1" fillId="35" borderId="18" xfId="0" applyFont="1" applyFill="1" applyBorder="1" applyAlignment="1" applyProtection="1">
      <alignment horizontal="center" vertical="top" wrapText="1"/>
      <protection locked="0"/>
    </xf>
    <xf numFmtId="0" fontId="1" fillId="35" borderId="27" xfId="0" applyFont="1" applyFill="1" applyBorder="1" applyAlignment="1" applyProtection="1">
      <alignment horizontal="center" vertical="top" wrapText="1"/>
      <protection locked="0"/>
    </xf>
    <xf numFmtId="0" fontId="1" fillId="35" borderId="30" xfId="0" applyFont="1" applyFill="1" applyBorder="1" applyAlignment="1" applyProtection="1">
      <alignment horizontal="center" vertical="top" wrapText="1"/>
      <protection locked="0"/>
    </xf>
    <xf numFmtId="0" fontId="1" fillId="0" borderId="27" xfId="0" applyFont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/>
      <protection hidden="1"/>
    </xf>
    <xf numFmtId="178" fontId="0" fillId="0" borderId="0" xfId="0" applyNumberFormat="1" applyBorder="1" applyAlignment="1" applyProtection="1">
      <alignment/>
      <protection hidden="1"/>
    </xf>
    <xf numFmtId="177" fontId="1" fillId="44" borderId="11" xfId="0" applyNumberFormat="1" applyFont="1" applyFill="1" applyBorder="1" applyAlignment="1" applyProtection="1">
      <alignment horizontal="center" vertical="top" wrapText="1"/>
      <protection/>
    </xf>
    <xf numFmtId="0" fontId="1" fillId="44" borderId="11" xfId="0" applyNumberFormat="1" applyFont="1" applyFill="1" applyBorder="1" applyAlignment="1" applyProtection="1">
      <alignment horizontal="center" vertical="top" wrapText="1"/>
      <protection/>
    </xf>
    <xf numFmtId="177" fontId="1" fillId="0" borderId="16" xfId="0" applyNumberFormat="1" applyFont="1" applyFill="1" applyBorder="1" applyAlignment="1" applyProtection="1">
      <alignment horizontal="center" vertical="top" wrapText="1"/>
      <protection/>
    </xf>
    <xf numFmtId="177" fontId="1" fillId="40" borderId="15" xfId="0" applyNumberFormat="1" applyFont="1" applyFill="1" applyBorder="1" applyAlignment="1" applyProtection="1">
      <alignment horizontal="center" vertical="top" wrapText="1"/>
      <protection/>
    </xf>
    <xf numFmtId="177" fontId="1" fillId="0" borderId="33" xfId="0" applyNumberFormat="1" applyFont="1" applyFill="1" applyBorder="1" applyAlignment="1" applyProtection="1">
      <alignment horizontal="center" vertical="top" wrapText="1"/>
      <protection/>
    </xf>
    <xf numFmtId="177" fontId="1" fillId="0" borderId="28" xfId="0" applyNumberFormat="1" applyFont="1" applyFill="1" applyBorder="1" applyAlignment="1" applyProtection="1">
      <alignment horizontal="center" vertical="top" wrapText="1"/>
      <protection/>
    </xf>
    <xf numFmtId="177" fontId="1" fillId="40" borderId="22" xfId="0" applyNumberFormat="1" applyFont="1" applyFill="1" applyBorder="1" applyAlignment="1" applyProtection="1">
      <alignment horizontal="center" vertical="top" wrapText="1"/>
      <protection/>
    </xf>
    <xf numFmtId="0" fontId="2" fillId="46" borderId="0" xfId="0" applyFont="1" applyFill="1" applyBorder="1" applyAlignment="1" applyProtection="1">
      <alignment horizontal="center"/>
      <protection/>
    </xf>
    <xf numFmtId="177" fontId="1" fillId="40" borderId="28" xfId="0" applyNumberFormat="1" applyFont="1" applyFill="1" applyBorder="1" applyAlignment="1" applyProtection="1">
      <alignment horizontal="center" vertical="top" wrapText="1"/>
      <protection/>
    </xf>
    <xf numFmtId="0" fontId="2" fillId="0" borderId="33" xfId="0" applyFont="1" applyBorder="1" applyAlignment="1" applyProtection="1">
      <alignment horizontal="center"/>
      <protection/>
    </xf>
    <xf numFmtId="177" fontId="1" fillId="40" borderId="33" xfId="0" applyNumberFormat="1" applyFont="1" applyFill="1" applyBorder="1" applyAlignment="1" applyProtection="1">
      <alignment horizontal="center" vertical="top" wrapText="1"/>
      <protection/>
    </xf>
    <xf numFmtId="177" fontId="1" fillId="40" borderId="34" xfId="0" applyNumberFormat="1" applyFont="1" applyFill="1" applyBorder="1" applyAlignment="1" applyProtection="1">
      <alignment horizontal="center" vertical="top" wrapText="1"/>
      <protection/>
    </xf>
    <xf numFmtId="177" fontId="1" fillId="40" borderId="30" xfId="0" applyNumberFormat="1" applyFont="1" applyFill="1" applyBorder="1" applyAlignment="1" applyProtection="1">
      <alignment horizontal="center" vertical="top" wrapText="1"/>
      <protection/>
    </xf>
    <xf numFmtId="177" fontId="1" fillId="40" borderId="26" xfId="0" applyNumberFormat="1" applyFont="1" applyFill="1" applyBorder="1" applyAlignment="1" applyProtection="1">
      <alignment horizontal="center" vertical="top" wrapText="1"/>
      <protection/>
    </xf>
    <xf numFmtId="177" fontId="1" fillId="38" borderId="28" xfId="0" applyNumberFormat="1" applyFont="1" applyFill="1" applyBorder="1" applyAlignment="1" applyProtection="1">
      <alignment horizontal="center"/>
      <protection/>
    </xf>
    <xf numFmtId="0" fontId="1" fillId="38" borderId="12" xfId="0" applyFont="1" applyFill="1" applyBorder="1" applyAlignment="1" applyProtection="1">
      <alignment/>
      <protection/>
    </xf>
    <xf numFmtId="0" fontId="1" fillId="38" borderId="23" xfId="0" applyFont="1" applyFill="1" applyBorder="1" applyAlignment="1" applyProtection="1">
      <alignment/>
      <protection/>
    </xf>
    <xf numFmtId="0" fontId="1" fillId="38" borderId="28" xfId="0" applyFont="1" applyFill="1" applyBorder="1" applyAlignment="1" applyProtection="1">
      <alignment/>
      <protection/>
    </xf>
    <xf numFmtId="178" fontId="5" fillId="38" borderId="13" xfId="0" applyNumberFormat="1" applyFont="1" applyFill="1" applyBorder="1" applyAlignment="1" applyProtection="1">
      <alignment/>
      <protection hidden="1"/>
    </xf>
    <xf numFmtId="178" fontId="5" fillId="38" borderId="11" xfId="0" applyNumberFormat="1" applyFont="1" applyFill="1" applyBorder="1" applyAlignment="1" applyProtection="1">
      <alignment/>
      <protection hidden="1"/>
    </xf>
    <xf numFmtId="178" fontId="5" fillId="38" borderId="12" xfId="0" applyNumberFormat="1" applyFont="1" applyFill="1" applyBorder="1" applyAlignment="1" applyProtection="1">
      <alignment/>
      <protection hidden="1"/>
    </xf>
    <xf numFmtId="0" fontId="5" fillId="38" borderId="28" xfId="0" applyFont="1" applyFill="1" applyBorder="1" applyAlignment="1" applyProtection="1">
      <alignment/>
      <protection hidden="1"/>
    </xf>
    <xf numFmtId="0" fontId="5" fillId="38" borderId="18" xfId="0" applyFont="1" applyFill="1" applyBorder="1" applyAlignment="1" applyProtection="1">
      <alignment/>
      <protection hidden="1"/>
    </xf>
    <xf numFmtId="0" fontId="5" fillId="38" borderId="26" xfId="0" applyFont="1" applyFill="1" applyBorder="1" applyAlignment="1" applyProtection="1">
      <alignment/>
      <protection hidden="1"/>
    </xf>
    <xf numFmtId="177" fontId="1" fillId="47" borderId="16" xfId="0" applyNumberFormat="1" applyFont="1" applyFill="1" applyBorder="1" applyAlignment="1" applyProtection="1">
      <alignment horizontal="center" vertical="top" wrapText="1"/>
      <protection/>
    </xf>
    <xf numFmtId="177" fontId="1" fillId="47" borderId="28" xfId="0" applyNumberFormat="1" applyFont="1" applyFill="1" applyBorder="1" applyAlignment="1" applyProtection="1">
      <alignment horizontal="center" vertical="top" wrapText="1"/>
      <protection/>
    </xf>
    <xf numFmtId="177" fontId="1" fillId="47" borderId="21" xfId="0" applyNumberFormat="1" applyFont="1" applyFill="1" applyBorder="1" applyAlignment="1" applyProtection="1">
      <alignment horizontal="center" vertical="top" wrapText="1"/>
      <protection/>
    </xf>
    <xf numFmtId="177" fontId="20" fillId="47" borderId="33" xfId="0" applyNumberFormat="1" applyFont="1" applyFill="1" applyBorder="1" applyAlignment="1" applyProtection="1">
      <alignment horizontal="center" vertical="top" wrapText="1"/>
      <protection/>
    </xf>
    <xf numFmtId="177" fontId="20" fillId="47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177" fontId="1" fillId="47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Border="1" applyAlignment="1" applyProtection="1">
      <alignment/>
      <protection hidden="1"/>
    </xf>
    <xf numFmtId="177" fontId="1" fillId="47" borderId="24" xfId="0" applyNumberFormat="1" applyFont="1" applyFill="1" applyBorder="1" applyAlignment="1" applyProtection="1">
      <alignment horizontal="center" vertical="top" wrapText="1"/>
      <protection/>
    </xf>
    <xf numFmtId="177" fontId="1" fillId="47" borderId="34" xfId="0" applyNumberFormat="1" applyFont="1" applyFill="1" applyBorder="1" applyAlignment="1" applyProtection="1">
      <alignment horizontal="center" vertical="top" wrapText="1"/>
      <protection/>
    </xf>
    <xf numFmtId="3" fontId="5" fillId="38" borderId="0" xfId="0" applyNumberFormat="1" applyFont="1" applyFill="1" applyBorder="1" applyAlignment="1" applyProtection="1">
      <alignment/>
      <protection hidden="1"/>
    </xf>
    <xf numFmtId="178" fontId="5" fillId="38" borderId="0" xfId="0" applyNumberFormat="1" applyFont="1" applyFill="1" applyBorder="1" applyAlignment="1" applyProtection="1">
      <alignment/>
      <protection hidden="1"/>
    </xf>
    <xf numFmtId="0" fontId="1" fillId="38" borderId="16" xfId="0" applyFont="1" applyFill="1" applyBorder="1" applyAlignment="1" applyProtection="1">
      <alignment/>
      <protection/>
    </xf>
    <xf numFmtId="178" fontId="5" fillId="38" borderId="18" xfId="0" applyNumberFormat="1" applyFont="1" applyFill="1" applyBorder="1" applyAlignment="1" applyProtection="1">
      <alignment/>
      <protection hidden="1"/>
    </xf>
    <xf numFmtId="0" fontId="1" fillId="45" borderId="28" xfId="0" applyNumberFormat="1" applyFont="1" applyFill="1" applyBorder="1" applyAlignment="1" applyProtection="1">
      <alignment horizontal="center"/>
      <protection/>
    </xf>
    <xf numFmtId="0" fontId="1" fillId="45" borderId="10" xfId="0" applyFont="1" applyFill="1" applyBorder="1" applyAlignment="1" applyProtection="1">
      <alignment horizontal="center" wrapText="1"/>
      <protection locked="0"/>
    </xf>
    <xf numFmtId="0" fontId="1" fillId="45" borderId="11" xfId="0" applyFont="1" applyFill="1" applyBorder="1" applyAlignment="1" applyProtection="1">
      <alignment horizontal="center" wrapText="1"/>
      <protection locked="0"/>
    </xf>
    <xf numFmtId="0" fontId="1" fillId="45" borderId="0" xfId="0" applyFont="1" applyFill="1" applyBorder="1" applyAlignment="1" applyProtection="1">
      <alignment horizontal="center" wrapText="1"/>
      <protection locked="0"/>
    </xf>
    <xf numFmtId="2" fontId="6" fillId="46" borderId="0" xfId="0" applyNumberFormat="1" applyFont="1" applyFill="1" applyBorder="1" applyAlignment="1" applyProtection="1">
      <alignment horizontal="center" vertical="top" wrapText="1"/>
      <protection/>
    </xf>
    <xf numFmtId="2" fontId="6" fillId="45" borderId="0" xfId="0" applyNumberFormat="1" applyFont="1" applyFill="1" applyBorder="1" applyAlignment="1" applyProtection="1">
      <alignment horizontal="center" vertical="top" wrapText="1"/>
      <protection/>
    </xf>
    <xf numFmtId="0" fontId="8" fillId="41" borderId="0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/>
    </xf>
    <xf numFmtId="3" fontId="5" fillId="0" borderId="10" xfId="0" applyNumberFormat="1" applyFont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center"/>
      <protection/>
    </xf>
    <xf numFmtId="178" fontId="5" fillId="0" borderId="10" xfId="0" applyNumberFormat="1" applyFont="1" applyBorder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left"/>
      <protection/>
    </xf>
    <xf numFmtId="0" fontId="6" fillId="46" borderId="0" xfId="0" applyFont="1" applyFill="1" applyBorder="1" applyAlignment="1" applyProtection="1">
      <alignment horizontal="center"/>
      <protection/>
    </xf>
    <xf numFmtId="2" fontId="1" fillId="46" borderId="16" xfId="0" applyNumberFormat="1" applyFont="1" applyFill="1" applyBorder="1" applyAlignment="1" applyProtection="1">
      <alignment horizontal="center"/>
      <protection/>
    </xf>
    <xf numFmtId="2" fontId="1" fillId="46" borderId="10" xfId="0" applyNumberFormat="1" applyFont="1" applyFill="1" applyBorder="1" applyAlignment="1" applyProtection="1">
      <alignment horizontal="center"/>
      <protection/>
    </xf>
    <xf numFmtId="2" fontId="1" fillId="46" borderId="15" xfId="0" applyNumberFormat="1" applyFont="1" applyFill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/>
      <protection hidden="1"/>
    </xf>
    <xf numFmtId="2" fontId="6" fillId="46" borderId="0" xfId="0" applyNumberFormat="1" applyFont="1" applyFill="1" applyBorder="1" applyAlignment="1" applyProtection="1">
      <alignment horizontal="center"/>
      <protection/>
    </xf>
    <xf numFmtId="2" fontId="6" fillId="45" borderId="0" xfId="0" applyNumberFormat="1" applyFont="1" applyFill="1" applyBorder="1" applyAlignment="1" applyProtection="1">
      <alignment horizontal="center"/>
      <protection/>
    </xf>
    <xf numFmtId="0" fontId="1" fillId="46" borderId="0" xfId="0" applyFont="1" applyFill="1" applyBorder="1" applyAlignment="1" applyProtection="1">
      <alignment/>
      <protection/>
    </xf>
    <xf numFmtId="0" fontId="0" fillId="46" borderId="0" xfId="0" applyFill="1" applyBorder="1" applyAlignment="1" applyProtection="1">
      <alignment/>
      <protection/>
    </xf>
    <xf numFmtId="0" fontId="0" fillId="46" borderId="0" xfId="0" applyFill="1" applyBorder="1" applyAlignment="1" applyProtection="1">
      <alignment horizontal="left"/>
      <protection/>
    </xf>
    <xf numFmtId="0" fontId="0" fillId="46" borderId="0" xfId="0" applyFill="1" applyBorder="1" applyAlignment="1" applyProtection="1">
      <alignment/>
      <protection locked="0"/>
    </xf>
    <xf numFmtId="0" fontId="13" fillId="46" borderId="0" xfId="43" applyFill="1" applyAlignment="1" applyProtection="1">
      <alignment horizontal="center"/>
      <protection/>
    </xf>
    <xf numFmtId="0" fontId="1" fillId="46" borderId="0" xfId="0" applyFont="1" applyFill="1" applyBorder="1" applyAlignment="1" applyProtection="1">
      <alignment horizontal="center"/>
      <protection/>
    </xf>
    <xf numFmtId="0" fontId="4" fillId="37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4" borderId="0" xfId="0" applyFont="1" applyFill="1" applyBorder="1" applyAlignment="1" applyProtection="1">
      <alignment/>
      <protection/>
    </xf>
    <xf numFmtId="177" fontId="20" fillId="47" borderId="34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Font="1" applyBorder="1" applyAlignment="1" applyProtection="1">
      <alignment/>
      <protection hidden="1"/>
    </xf>
    <xf numFmtId="0" fontId="23" fillId="0" borderId="0" xfId="43" applyFont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24" fillId="0" borderId="0" xfId="0" applyFont="1" applyBorder="1" applyAlignment="1" applyProtection="1">
      <alignment/>
      <protection hidden="1"/>
    </xf>
    <xf numFmtId="3" fontId="11" fillId="0" borderId="0" xfId="0" applyNumberFormat="1" applyFont="1" applyAlignment="1" applyProtection="1">
      <alignment/>
      <protection hidden="1"/>
    </xf>
    <xf numFmtId="178" fontId="11" fillId="0" borderId="0" xfId="0" applyNumberFormat="1" applyFont="1" applyAlignment="1" applyProtection="1">
      <alignment/>
      <protection hidden="1"/>
    </xf>
    <xf numFmtId="0" fontId="1" fillId="38" borderId="11" xfId="0" applyFont="1" applyFill="1" applyBorder="1" applyAlignment="1" applyProtection="1">
      <alignment horizontal="right" vertical="top" wrapText="1"/>
      <protection/>
    </xf>
    <xf numFmtId="177" fontId="1" fillId="33" borderId="14" xfId="0" applyNumberFormat="1" applyFont="1" applyFill="1" applyBorder="1" applyAlignment="1" applyProtection="1">
      <alignment horizontal="center" vertical="top" wrapText="1"/>
      <protection/>
    </xf>
    <xf numFmtId="177" fontId="1" fillId="33" borderId="25" xfId="0" applyNumberFormat="1" applyFont="1" applyFill="1" applyBorder="1" applyAlignment="1" applyProtection="1">
      <alignment horizontal="center" vertical="top" wrapText="1"/>
      <protection/>
    </xf>
    <xf numFmtId="177" fontId="1" fillId="33" borderId="29" xfId="0" applyNumberFormat="1" applyFont="1" applyFill="1" applyBorder="1" applyAlignment="1" applyProtection="1">
      <alignment horizontal="center" vertical="top" wrapText="1"/>
      <protection/>
    </xf>
    <xf numFmtId="177" fontId="1" fillId="41" borderId="14" xfId="0" applyNumberFormat="1" applyFont="1" applyFill="1" applyBorder="1" applyAlignment="1" applyProtection="1">
      <alignment horizontal="center" vertical="top" wrapText="1"/>
      <protection/>
    </xf>
    <xf numFmtId="177" fontId="1" fillId="41" borderId="25" xfId="0" applyNumberFormat="1" applyFont="1" applyFill="1" applyBorder="1" applyAlignment="1" applyProtection="1">
      <alignment horizontal="center" vertical="top" wrapText="1"/>
      <protection/>
    </xf>
    <xf numFmtId="177" fontId="1" fillId="41" borderId="29" xfId="0" applyNumberFormat="1" applyFont="1" applyFill="1" applyBorder="1" applyAlignment="1" applyProtection="1">
      <alignment horizontal="center" vertical="top" wrapText="1"/>
      <protection/>
    </xf>
    <xf numFmtId="177" fontId="1" fillId="39" borderId="18" xfId="0" applyNumberFormat="1" applyFont="1" applyFill="1" applyBorder="1" applyAlignment="1" applyProtection="1">
      <alignment horizontal="center" vertical="top" wrapText="1"/>
      <protection/>
    </xf>
    <xf numFmtId="177" fontId="1" fillId="44" borderId="18" xfId="0" applyNumberFormat="1" applyFont="1" applyFill="1" applyBorder="1" applyAlignment="1" applyProtection="1">
      <alignment horizontal="center" vertical="top" wrapText="1"/>
      <protection/>
    </xf>
    <xf numFmtId="177" fontId="1" fillId="0" borderId="22" xfId="0" applyNumberFormat="1" applyFont="1" applyBorder="1" applyAlignment="1" applyProtection="1">
      <alignment horizontal="center" vertical="top" wrapText="1"/>
      <protection/>
    </xf>
    <xf numFmtId="177" fontId="1" fillId="40" borderId="31" xfId="0" applyNumberFormat="1" applyFont="1" applyFill="1" applyBorder="1" applyAlignment="1" applyProtection="1">
      <alignment horizontal="center" vertical="top" wrapText="1"/>
      <protection/>
    </xf>
    <xf numFmtId="0" fontId="1" fillId="38" borderId="35" xfId="0" applyFont="1" applyFill="1" applyBorder="1" applyAlignment="1" applyProtection="1">
      <alignment/>
      <protection/>
    </xf>
    <xf numFmtId="0" fontId="1" fillId="38" borderId="15" xfId="0" applyFont="1" applyFill="1" applyBorder="1" applyAlignment="1" applyProtection="1">
      <alignment/>
      <protection/>
    </xf>
    <xf numFmtId="0" fontId="18" fillId="43" borderId="0" xfId="0" applyFont="1" applyFill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/>
      <protection/>
    </xf>
    <xf numFmtId="0" fontId="2" fillId="45" borderId="14" xfId="0" applyNumberFormat="1" applyFont="1" applyFill="1" applyBorder="1" applyAlignment="1" applyProtection="1">
      <alignment horizontal="center"/>
      <protection/>
    </xf>
    <xf numFmtId="0" fontId="2" fillId="45" borderId="25" xfId="0" applyNumberFormat="1" applyFont="1" applyFill="1" applyBorder="1" applyAlignment="1" applyProtection="1">
      <alignment horizontal="center"/>
      <protection/>
    </xf>
    <xf numFmtId="0" fontId="2" fillId="45" borderId="29" xfId="0" applyNumberFormat="1" applyFont="1" applyFill="1" applyBorder="1" applyAlignment="1" applyProtection="1">
      <alignment horizontal="center"/>
      <protection/>
    </xf>
    <xf numFmtId="0" fontId="1" fillId="45" borderId="14" xfId="0" applyNumberFormat="1" applyFont="1" applyFill="1" applyBorder="1" applyAlignment="1" applyProtection="1">
      <alignment horizontal="center"/>
      <protection/>
    </xf>
    <xf numFmtId="177" fontId="4" fillId="40" borderId="18" xfId="0" applyNumberFormat="1" applyFont="1" applyFill="1" applyBorder="1" applyAlignment="1" applyProtection="1">
      <alignment horizontal="center" vertical="top" wrapText="1"/>
      <protection/>
    </xf>
    <xf numFmtId="177" fontId="4" fillId="40" borderId="27" xfId="0" applyNumberFormat="1" applyFont="1" applyFill="1" applyBorder="1" applyAlignment="1" applyProtection="1">
      <alignment horizontal="center" vertical="top" wrapText="1"/>
      <protection/>
    </xf>
    <xf numFmtId="0" fontId="13" fillId="0" borderId="0" xfId="43" applyAlignment="1" applyProtection="1">
      <alignment horizontal="right"/>
      <protection locked="0"/>
    </xf>
    <xf numFmtId="0" fontId="13" fillId="0" borderId="0" xfId="43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left" vertical="top" wrapText="1"/>
      <protection/>
    </xf>
    <xf numFmtId="0" fontId="4" fillId="38" borderId="11" xfId="0" applyFont="1" applyFill="1" applyBorder="1" applyAlignment="1" applyProtection="1">
      <alignment horizontal="left" vertical="top" wrapText="1"/>
      <protection/>
    </xf>
    <xf numFmtId="0" fontId="21" fillId="45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 vertical="top" wrapText="1" readingOrder="1"/>
      <protection/>
    </xf>
    <xf numFmtId="0" fontId="13" fillId="46" borderId="0" xfId="43" applyFill="1" applyAlignment="1" applyProtection="1">
      <alignment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29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indexed="21"/>
      </font>
      <fill>
        <patternFill>
          <bgColor indexed="21"/>
        </patternFill>
      </fill>
    </dxf>
    <dxf>
      <font>
        <color indexed="55"/>
      </font>
    </dxf>
    <dxf>
      <fill>
        <patternFill>
          <bgColor indexed="14"/>
        </patternFill>
      </fill>
    </dxf>
    <dxf>
      <fill>
        <patternFill>
          <bgColor indexed="49"/>
        </patternFill>
      </fill>
    </dxf>
    <dxf>
      <fill>
        <patternFill>
          <bgColor indexed="35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6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DDFFDD"/>
      <rgbColor rgb="000000FF"/>
      <rgbColor rgb="00FFFFDD"/>
      <rgbColor rgb="00DDCCEE"/>
      <rgbColor rgb="00CCEEEE"/>
      <rgbColor rgb="00993333"/>
      <rgbColor rgb="00008000"/>
      <rgbColor rgb="00000080"/>
      <rgbColor rgb="00CC9966"/>
      <rgbColor rgb="00FFBB99"/>
      <rgbColor rgb="00008080"/>
      <rgbColor rgb="00DDDDDD"/>
      <rgbColor rgb="00BBBBBB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EEEDD"/>
      <rgbColor rgb="00BBDDDD"/>
      <rgbColor rgb="00BBDDBB"/>
      <rgbColor rgb="00EEEEBB"/>
      <rgbColor rgb="00DDDDCC"/>
      <rgbColor rgb="00E099CC"/>
      <rgbColor rgb="00FFCCBB"/>
      <rgbColor rgb="00EEDD99"/>
      <rgbColor rgb="00CCCCBB"/>
      <rgbColor rgb="0099CCCC"/>
      <rgbColor rgb="00DDDD88"/>
      <rgbColor rgb="00FFEEBB"/>
      <rgbColor rgb="00CCCC99"/>
      <rgbColor rgb="00FF6600"/>
      <rgbColor rgb="00666699"/>
      <rgbColor rgb="00CCCCCC"/>
      <rgbColor rgb="00003366"/>
      <rgbColor rgb="0066CC99"/>
      <rgbColor rgb="00003300"/>
      <rgbColor rgb="00333300"/>
      <rgbColor rgb="00993300"/>
      <rgbColor rgb="00FFDDCC"/>
      <rgbColor rgb="00333399"/>
      <rgbColor rgb="0068686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szanto@epitesz.bme.h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I132"/>
  <sheetViews>
    <sheetView showGridLines="0" showRowColHeaders="0" showZeros="0" zoomScale="115" zoomScaleNormal="115" zoomScalePageLayoutView="0" workbookViewId="0" topLeftCell="A1">
      <pane ySplit="9" topLeftCell="A10" activePane="bottomLeft" state="frozen"/>
      <selection pane="topLeft" activeCell="A1" sqref="A1"/>
      <selection pane="bottomLeft" activeCell="H11" sqref="H11"/>
    </sheetView>
  </sheetViews>
  <sheetFormatPr defaultColWidth="9.140625" defaultRowHeight="14.25" customHeight="1" outlineLevelRow="1" outlineLevelCol="1"/>
  <cols>
    <col min="1" max="1" width="3.00390625" style="4" customWidth="1"/>
    <col min="2" max="2" width="3.28125" style="5" customWidth="1"/>
    <col min="3" max="3" width="31.8515625" style="7" customWidth="1"/>
    <col min="4" max="4" width="7.421875" style="7" customWidth="1"/>
    <col min="5" max="5" width="0.85546875" style="6" hidden="1" customWidth="1"/>
    <col min="6" max="6" width="7.57421875" style="7" customWidth="1"/>
    <col min="7" max="7" width="6.00390625" style="7" customWidth="1"/>
    <col min="8" max="8" width="5.28125" style="7" customWidth="1"/>
    <col min="9" max="9" width="3.140625" style="7" customWidth="1"/>
    <col min="10" max="10" width="6.140625" style="8" customWidth="1"/>
    <col min="11" max="15" width="9.140625" style="1" hidden="1" customWidth="1" outlineLevel="1"/>
    <col min="16" max="17" width="7.57421875" style="1" hidden="1" customWidth="1" outlineLevel="1"/>
    <col min="18" max="18" width="4.8515625" style="8" customWidth="1" collapsed="1"/>
    <col min="19" max="19" width="11.28125" style="3" hidden="1" customWidth="1" outlineLevel="1"/>
    <col min="20" max="20" width="9.57421875" style="3" hidden="1" customWidth="1" outlineLevel="1"/>
    <col min="21" max="21" width="9.140625" style="3" hidden="1" customWidth="1" outlineLevel="1"/>
    <col min="22" max="22" width="4.8515625" style="8" customWidth="1" collapsed="1"/>
    <col min="23" max="23" width="10.421875" style="2" hidden="1" customWidth="1" outlineLevel="1"/>
    <col min="24" max="24" width="9.57421875" style="2" hidden="1" customWidth="1" outlineLevel="1"/>
    <col min="25" max="27" width="9.140625" style="2" hidden="1" customWidth="1" outlineLevel="1"/>
    <col min="28" max="28" width="4.8515625" style="8" customWidth="1" collapsed="1"/>
    <col min="29" max="31" width="4.8515625" style="8" hidden="1" customWidth="1" outlineLevel="1"/>
    <col min="32" max="32" width="9.28125" style="205" hidden="1" customWidth="1" outlineLevel="1"/>
    <col min="33" max="47" width="7.8515625" style="2" hidden="1" customWidth="1" outlineLevel="1"/>
    <col min="48" max="48" width="4.8515625" style="8" customWidth="1" collapsed="1"/>
    <col min="49" max="49" width="4.8515625" style="8" hidden="1" customWidth="1" outlineLevel="1"/>
    <col min="50" max="52" width="6.57421875" style="2" hidden="1" customWidth="1" outlineLevel="1"/>
    <col min="53" max="53" width="5.140625" style="8" customWidth="1" collapsed="1"/>
    <col min="54" max="55" width="5.140625" style="8" customWidth="1"/>
    <col min="56" max="56" width="6.140625" style="9" customWidth="1"/>
    <col min="57" max="57" width="7.421875" style="8" customWidth="1" outlineLevel="1"/>
    <col min="58" max="58" width="8.28125" style="8" customWidth="1" outlineLevel="1"/>
    <col min="59" max="59" width="1.7109375" style="8" customWidth="1" outlineLevel="1"/>
    <col min="60" max="60" width="10.140625" style="8" customWidth="1" outlineLevel="1"/>
    <col min="61" max="61" width="8.8515625" style="9" customWidth="1"/>
    <col min="62" max="16384" width="9.140625" style="7" customWidth="1"/>
  </cols>
  <sheetData>
    <row r="1" ht="6.75" customHeight="1"/>
    <row r="2" spans="3:9" ht="14.25" customHeight="1">
      <c r="C2" s="125" t="s">
        <v>239</v>
      </c>
      <c r="D2" s="125"/>
      <c r="F2" s="361"/>
      <c r="G2" s="87"/>
      <c r="H2" s="104"/>
      <c r="I2" s="104"/>
    </row>
    <row r="3" spans="3:4" ht="5.25" customHeight="1">
      <c r="C3" s="10"/>
      <c r="D3" s="10"/>
    </row>
    <row r="4" spans="2:57" ht="14.25" customHeight="1" outlineLevel="1">
      <c r="B4" s="98"/>
      <c r="C4" s="328" t="s">
        <v>199</v>
      </c>
      <c r="D4" s="302">
        <f>F78</f>
        <v>0</v>
      </c>
      <c r="E4" s="153"/>
      <c r="F4" s="330" t="str">
        <f>IF(AND(tervszig&gt;2,osszkredit&gt;=130),"   Tervező szakirányra megfelel.","   Tervező szakirányra NEM felel meg.")</f>
        <v>   Tervező szakirányra NEM felel meg.</v>
      </c>
      <c r="G4" s="176"/>
      <c r="H4" s="177"/>
      <c r="I4" s="177"/>
      <c r="J4" s="178"/>
      <c r="K4" s="179"/>
      <c r="L4" s="179"/>
      <c r="M4" s="179"/>
      <c r="N4" s="179"/>
      <c r="O4" s="179"/>
      <c r="P4" s="179"/>
      <c r="Q4" s="179"/>
      <c r="R4" s="178"/>
      <c r="BE4" s="147"/>
    </row>
    <row r="5" spans="3:57" ht="12.75" customHeight="1" outlineLevel="1">
      <c r="C5" s="11"/>
      <c r="D5" s="11"/>
      <c r="E5" s="12"/>
      <c r="F5" s="4" t="str">
        <f>(IF(osszkredit&lt;130,"   Összkredit &lt; 130.",""))&amp;(IF(tervszig&lt;3,"   Tervezési szigorlat &lt; 3.",""))</f>
        <v>   Összkredit &lt; 130.   Tervezési szigorlat &lt; 3.</v>
      </c>
      <c r="G5" s="13"/>
      <c r="BE5" s="147"/>
    </row>
    <row r="6" spans="2:18" ht="14.25" customHeight="1" outlineLevel="1">
      <c r="B6" s="96"/>
      <c r="C6" s="329" t="s">
        <v>230</v>
      </c>
      <c r="D6" s="303">
        <f>F81</f>
        <v>0</v>
      </c>
      <c r="E6" s="153"/>
      <c r="F6" s="330" t="str">
        <f>IF(AND(szilszig&gt;=2,epszig&gt;=2,osszkredit&gt;=130),"   Szerkezeti szakirányra megfelel.","   Szerkezeti szakirányra NEM felel meg.")</f>
        <v>   Szerkezeti szakirányra NEM felel meg.</v>
      </c>
      <c r="G6" s="180"/>
      <c r="H6" s="177"/>
      <c r="I6" s="177"/>
      <c r="J6" s="178"/>
      <c r="K6" s="179"/>
      <c r="L6" s="179"/>
      <c r="M6" s="179"/>
      <c r="N6" s="179"/>
      <c r="O6" s="179"/>
      <c r="P6" s="179"/>
      <c r="Q6" s="179"/>
      <c r="R6" s="178"/>
    </row>
    <row r="7" spans="3:61" ht="13.5" customHeight="1" outlineLevel="1">
      <c r="C7" s="92" t="s">
        <v>170</v>
      </c>
      <c r="D7" s="304"/>
      <c r="E7" s="14"/>
      <c r="F7" s="4" t="str">
        <f>(IF(osszkredit&lt;130,"   Összkredit &lt; 130.",""))&amp;(IF(OR(szilszig&lt;2,epszig&lt;2),"   Nincs meg mindkét műszaki szigorlata.",""))</f>
        <v>   Összkredit &lt; 130.   Nincs meg mindkét műszaki szigorlata.</v>
      </c>
      <c r="G7" s="13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7"/>
      <c r="AR7" s="287"/>
      <c r="AS7" s="287"/>
      <c r="AT7" s="287"/>
      <c r="AU7" s="287"/>
      <c r="AV7" s="287"/>
      <c r="AW7" s="287"/>
      <c r="AX7" s="287"/>
      <c r="AY7" s="287"/>
      <c r="AZ7" s="287"/>
      <c r="BA7" s="287"/>
      <c r="BB7" s="287"/>
      <c r="BC7" s="287"/>
      <c r="BD7" s="287"/>
      <c r="BE7" s="287"/>
      <c r="BF7" s="287"/>
      <c r="BG7" s="287"/>
      <c r="BH7" s="287"/>
      <c r="BI7" s="287"/>
    </row>
    <row r="8" spans="3:61" ht="12.75" customHeight="1">
      <c r="C8" s="191" t="s">
        <v>249</v>
      </c>
      <c r="D8" s="10"/>
      <c r="F8" s="15" t="s">
        <v>110</v>
      </c>
      <c r="H8" s="15" t="s">
        <v>110</v>
      </c>
      <c r="I8" s="15" t="s">
        <v>110</v>
      </c>
      <c r="J8" s="365" t="str">
        <f>IF(osszkredit&lt;1,"   Csak a zöld pontokkal megjelölt oszlopokba, valamint a Neptun-kód mezőbe  lehet írni!","Számított értékek")</f>
        <v>   Csak a zöld pontokkal megjelölt oszlopokba, valamint a Neptun-kód mezőbe  lehet írni!</v>
      </c>
      <c r="K8" s="365"/>
      <c r="L8" s="365"/>
      <c r="M8" s="365"/>
      <c r="N8" s="365"/>
      <c r="O8" s="365"/>
      <c r="P8" s="365"/>
      <c r="Q8" s="365"/>
      <c r="R8" s="365"/>
      <c r="S8" s="365"/>
      <c r="T8" s="365"/>
      <c r="U8" s="365"/>
      <c r="V8" s="365"/>
      <c r="W8" s="365"/>
      <c r="X8" s="365"/>
      <c r="Y8" s="365"/>
      <c r="Z8" s="365"/>
      <c r="AA8" s="365"/>
      <c r="AB8" s="365"/>
      <c r="AC8" s="365"/>
      <c r="AD8" s="365"/>
      <c r="AE8" s="365"/>
      <c r="AF8" s="365"/>
      <c r="AG8" s="365"/>
      <c r="AH8" s="365"/>
      <c r="AI8" s="365"/>
      <c r="AJ8" s="365"/>
      <c r="AK8" s="365"/>
      <c r="AL8" s="365"/>
      <c r="AM8" s="365"/>
      <c r="AN8" s="365"/>
      <c r="AO8" s="365"/>
      <c r="AP8" s="365"/>
      <c r="AQ8" s="365"/>
      <c r="AR8" s="365"/>
      <c r="AS8" s="365"/>
      <c r="AT8" s="365"/>
      <c r="AU8" s="365"/>
      <c r="AV8" s="365"/>
      <c r="AW8" s="365"/>
      <c r="AX8" s="365"/>
      <c r="AY8" s="365"/>
      <c r="AZ8" s="365"/>
      <c r="BA8" s="365"/>
      <c r="BB8" s="365"/>
      <c r="BC8" s="365"/>
      <c r="BD8" s="365"/>
      <c r="BE8" s="365"/>
      <c r="BF8" s="365"/>
      <c r="BG8" s="365"/>
      <c r="BH8" s="365"/>
      <c r="BI8" s="365"/>
    </row>
    <row r="9" spans="1:61" s="126" customFormat="1" ht="14.25" customHeight="1">
      <c r="A9" s="305" t="s">
        <v>121</v>
      </c>
      <c r="B9" s="307" t="s">
        <v>120</v>
      </c>
      <c r="C9" s="313" t="s">
        <v>118</v>
      </c>
      <c r="D9" s="313"/>
      <c r="E9" s="314" t="s">
        <v>119</v>
      </c>
      <c r="F9" s="307" t="s">
        <v>133</v>
      </c>
      <c r="G9" s="307" t="s">
        <v>153</v>
      </c>
      <c r="H9" s="307" t="s">
        <v>139</v>
      </c>
      <c r="I9" s="312" t="s">
        <v>115</v>
      </c>
      <c r="J9" s="305" t="s">
        <v>95</v>
      </c>
      <c r="K9" s="306"/>
      <c r="L9" s="306"/>
      <c r="M9" s="306"/>
      <c r="N9" s="306"/>
      <c r="O9" s="306"/>
      <c r="P9" s="306"/>
      <c r="Q9" s="306"/>
      <c r="R9" s="307" t="s">
        <v>96</v>
      </c>
      <c r="S9" s="308"/>
      <c r="T9" s="308"/>
      <c r="U9" s="308"/>
      <c r="V9" s="307" t="s">
        <v>244</v>
      </c>
      <c r="W9" s="309"/>
      <c r="X9" s="309"/>
      <c r="Y9" s="309"/>
      <c r="Z9" s="309"/>
      <c r="AA9" s="309"/>
      <c r="AB9" s="310" t="s">
        <v>97</v>
      </c>
      <c r="AC9" s="310"/>
      <c r="AD9" s="310" t="s">
        <v>221</v>
      </c>
      <c r="AE9" s="310"/>
      <c r="AF9" s="311" t="s">
        <v>194</v>
      </c>
      <c r="AG9" s="319"/>
      <c r="AH9" s="309"/>
      <c r="AI9" s="309"/>
      <c r="AJ9" s="309"/>
      <c r="AK9" s="309"/>
      <c r="AL9" s="309"/>
      <c r="AM9" s="309"/>
      <c r="AN9" s="309"/>
      <c r="AO9" s="309"/>
      <c r="AP9" s="309"/>
      <c r="AQ9" s="309"/>
      <c r="AR9" s="309"/>
      <c r="AS9" s="309"/>
      <c r="AT9" s="309"/>
      <c r="AU9" s="309"/>
      <c r="AV9" s="310" t="s">
        <v>98</v>
      </c>
      <c r="AW9" s="310"/>
      <c r="AX9" s="309"/>
      <c r="AY9" s="309"/>
      <c r="AZ9" s="309"/>
      <c r="BA9" s="307" t="s">
        <v>108</v>
      </c>
      <c r="BB9" s="307" t="s">
        <v>109</v>
      </c>
      <c r="BC9" s="307" t="s">
        <v>243</v>
      </c>
      <c r="BD9" s="307" t="s">
        <v>193</v>
      </c>
      <c r="BE9" s="307" t="s">
        <v>122</v>
      </c>
      <c r="BF9" s="307" t="s">
        <v>246</v>
      </c>
      <c r="BG9" s="307" t="s">
        <v>166</v>
      </c>
      <c r="BH9" s="307" t="s">
        <v>101</v>
      </c>
      <c r="BI9" s="312" t="s">
        <v>111</v>
      </c>
    </row>
    <row r="10" spans="1:61" ht="14.25" customHeight="1">
      <c r="A10" s="16">
        <v>1</v>
      </c>
      <c r="B10" s="107">
        <v>1</v>
      </c>
      <c r="C10" s="17" t="s">
        <v>0</v>
      </c>
      <c r="D10" s="17"/>
      <c r="E10" s="18" t="s">
        <v>1</v>
      </c>
      <c r="F10" s="300">
        <v>3</v>
      </c>
      <c r="G10" s="19">
        <f>IF(H10&gt;1,F10,0)</f>
        <v>0</v>
      </c>
      <c r="H10" s="112"/>
      <c r="I10" s="114"/>
      <c r="J10" s="290"/>
      <c r="K10" s="241"/>
      <c r="L10" s="241"/>
      <c r="M10" s="241"/>
      <c r="N10" s="241"/>
      <c r="O10" s="241"/>
      <c r="P10" s="241"/>
      <c r="Q10" s="241"/>
      <c r="R10" s="20"/>
      <c r="S10" s="242"/>
      <c r="T10" s="242"/>
      <c r="U10" s="242"/>
      <c r="V10" s="20"/>
      <c r="W10" s="242"/>
      <c r="X10" s="242"/>
      <c r="Y10" s="242"/>
      <c r="Z10" s="242"/>
      <c r="AA10" s="242"/>
      <c r="AB10" s="142">
        <f>IF(ISNA(HLOOKUP(AG10,M1a,2,0)),0,HLOOKUP(AG10,M1a,2,0))</f>
        <v>1</v>
      </c>
      <c r="AC10" s="258">
        <f>G10</f>
        <v>0</v>
      </c>
      <c r="AD10" s="258">
        <f>H10</f>
        <v>0</v>
      </c>
      <c r="AE10" s="341">
        <f>LARGE(M1jegyek,1)</f>
        <v>0</v>
      </c>
      <c r="AF10" s="259">
        <f>IF(ISNA(HLOOKUP(AB10,M1ax,7)),0,HLOOKUP(AB10,M1ax,6))</f>
        <v>1</v>
      </c>
      <c r="AG10" s="257">
        <f>IF($H10&gt;osztalyzat,10000*$H10+1000*$G10+100-$A10,10000*$H10+1000*(10-$G10)+100-$A10)</f>
        <v>10099</v>
      </c>
      <c r="AH10" s="242">
        <f aca="true" t="shared" si="0" ref="AH10:AU10">IF(AG10=AG$68,-1,AG10)</f>
        <v>-1</v>
      </c>
      <c r="AI10" s="242">
        <f t="shared" si="0"/>
        <v>-1</v>
      </c>
      <c r="AJ10" s="242">
        <f t="shared" si="0"/>
        <v>-1</v>
      </c>
      <c r="AK10" s="242">
        <f t="shared" si="0"/>
        <v>-1</v>
      </c>
      <c r="AL10" s="242">
        <f t="shared" si="0"/>
        <v>-1</v>
      </c>
      <c r="AM10" s="242">
        <f t="shared" si="0"/>
        <v>-1</v>
      </c>
      <c r="AN10" s="242">
        <f t="shared" si="0"/>
        <v>-1</v>
      </c>
      <c r="AO10" s="242">
        <f t="shared" si="0"/>
        <v>-1</v>
      </c>
      <c r="AP10" s="242">
        <f t="shared" si="0"/>
        <v>-1</v>
      </c>
      <c r="AQ10" s="242">
        <f t="shared" si="0"/>
        <v>-1</v>
      </c>
      <c r="AR10" s="242">
        <f t="shared" si="0"/>
        <v>-1</v>
      </c>
      <c r="AS10" s="242">
        <f t="shared" si="0"/>
        <v>-1</v>
      </c>
      <c r="AT10" s="242">
        <f t="shared" si="0"/>
        <v>-1</v>
      </c>
      <c r="AU10" s="242">
        <f t="shared" si="0"/>
        <v>-1</v>
      </c>
      <c r="AV10" s="21"/>
      <c r="AW10" s="20"/>
      <c r="AX10" s="291"/>
      <c r="AY10" s="291"/>
      <c r="AZ10" s="291"/>
      <c r="BA10" s="22"/>
      <c r="BB10" s="23"/>
      <c r="BC10" s="23">
        <f>IF(V10&gt;0,H10,"")</f>
      </c>
      <c r="BD10" s="142">
        <f>IF(AND(AB10&gt;0,AB10&lt;13),G10,0)</f>
        <v>0</v>
      </c>
      <c r="BE10" s="143">
        <f>IF(AND(AB10&gt;0,AB10&lt;13),H10*F10,0)</f>
        <v>0</v>
      </c>
      <c r="BF10" s="143">
        <f>AF10*AC10</f>
        <v>0</v>
      </c>
      <c r="BG10" s="215">
        <f>IF(AND(G10&lt;&gt;BF10,BF10&gt;0),"x","")</f>
      </c>
      <c r="BH10" s="143">
        <f>BF10*H10</f>
        <v>0</v>
      </c>
      <c r="BI10" s="24"/>
    </row>
    <row r="11" spans="1:61" ht="14.25" customHeight="1">
      <c r="A11" s="16">
        <v>2</v>
      </c>
      <c r="B11" s="107">
        <v>1</v>
      </c>
      <c r="C11" s="25" t="s">
        <v>2</v>
      </c>
      <c r="D11" s="25"/>
      <c r="E11" s="26" t="s">
        <v>3</v>
      </c>
      <c r="F11" s="27">
        <v>2</v>
      </c>
      <c r="G11" s="28">
        <f aca="true" t="shared" si="1" ref="G11:G67">IF(H11&gt;1,F11,0)</f>
        <v>0</v>
      </c>
      <c r="H11" s="113"/>
      <c r="I11" s="114"/>
      <c r="J11" s="282"/>
      <c r="K11" s="193"/>
      <c r="L11" s="193"/>
      <c r="M11" s="193"/>
      <c r="N11" s="193"/>
      <c r="O11" s="193"/>
      <c r="P11" s="193"/>
      <c r="Q11" s="193"/>
      <c r="R11" s="29"/>
      <c r="S11" s="257"/>
      <c r="T11" s="257"/>
      <c r="U11" s="257"/>
      <c r="V11" s="29"/>
      <c r="W11" s="257"/>
      <c r="X11" s="257"/>
      <c r="Y11" s="257"/>
      <c r="Z11" s="257"/>
      <c r="AA11" s="257"/>
      <c r="AB11" s="260"/>
      <c r="AC11" s="192">
        <f aca="true" t="shared" si="2" ref="AC11:AC18">G11</f>
        <v>0</v>
      </c>
      <c r="AD11" s="240"/>
      <c r="AE11" s="342">
        <f>LARGE(M1jegyek,2)</f>
        <v>0</v>
      </c>
      <c r="AF11" s="206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30"/>
      <c r="AW11" s="55"/>
      <c r="AX11" s="256"/>
      <c r="AY11" s="256"/>
      <c r="AZ11" s="256"/>
      <c r="BA11" s="31"/>
      <c r="BB11" s="32"/>
      <c r="BC11" s="32">
        <f>IF(V11&gt;0,H11,"")</f>
      </c>
      <c r="BD11" s="31"/>
      <c r="BE11" s="71"/>
      <c r="BF11" s="32"/>
      <c r="BG11" s="32"/>
      <c r="BH11" s="33"/>
      <c r="BI11" s="34"/>
    </row>
    <row r="12" spans="1:61" ht="14.25" customHeight="1">
      <c r="A12" s="16">
        <v>3</v>
      </c>
      <c r="B12" s="108">
        <v>1</v>
      </c>
      <c r="C12" s="35" t="s">
        <v>4</v>
      </c>
      <c r="D12" s="35"/>
      <c r="E12" s="26" t="s">
        <v>5</v>
      </c>
      <c r="F12" s="299">
        <v>5</v>
      </c>
      <c r="G12" s="28">
        <f t="shared" si="1"/>
        <v>0</v>
      </c>
      <c r="H12" s="115"/>
      <c r="I12" s="114"/>
      <c r="J12" s="282"/>
      <c r="K12" s="193"/>
      <c r="L12" s="193"/>
      <c r="M12" s="193"/>
      <c r="N12" s="193"/>
      <c r="O12" s="193"/>
      <c r="P12" s="193"/>
      <c r="Q12" s="193"/>
      <c r="R12" s="29"/>
      <c r="S12" s="257"/>
      <c r="T12" s="257"/>
      <c r="U12" s="257"/>
      <c r="V12" s="143">
        <f>IF(ISNA(HLOOKUP(W12,ARa,2,0)),0,HLOOKUP(W12,ARa,2,0))</f>
        <v>1</v>
      </c>
      <c r="W12" s="171">
        <f>10000*$H12+1000*$G12+100-$A12</f>
        <v>97</v>
      </c>
      <c r="X12" s="171">
        <f>IF(W12=W$68,-1,W12)</f>
        <v>-1</v>
      </c>
      <c r="Y12" s="171">
        <f>IF(X12=X$68,-1,X12)</f>
        <v>-1</v>
      </c>
      <c r="Z12" s="171">
        <f>IF(Y12=Y$68,-1,Y12)</f>
        <v>-1</v>
      </c>
      <c r="AA12" s="171">
        <f>IF(Z12=Z$68,-1,Z12)</f>
        <v>-1</v>
      </c>
      <c r="AB12" s="142">
        <f>IF(ISNA(HLOOKUP(AG12,M1a,2,0)),0,HLOOKUP(AG12,M1a,2,0))</f>
        <v>2</v>
      </c>
      <c r="AC12" s="213">
        <f t="shared" si="2"/>
        <v>0</v>
      </c>
      <c r="AD12" s="213">
        <f>H12</f>
        <v>0</v>
      </c>
      <c r="AE12" s="342">
        <f>LARGE(M1jegyek,3)</f>
        <v>0</v>
      </c>
      <c r="AF12" s="214">
        <f>IF(ISNA(HLOOKUP(AB12,M1ax,7)),0,HLOOKUP(AB12,M1ax,6))</f>
        <v>1</v>
      </c>
      <c r="AG12" s="257">
        <f>IF($H12&gt;osztalyzat,10000*$H12+1000*$G12+100-$A12,10000*$H12+1000*(10-$G12)+100-$A12)</f>
        <v>10097</v>
      </c>
      <c r="AH12" s="257">
        <f aca="true" t="shared" si="3" ref="AH12:AU12">IF(AG12=AG$68,-1,AG12)</f>
        <v>10097</v>
      </c>
      <c r="AI12" s="257">
        <f t="shared" si="3"/>
        <v>-1</v>
      </c>
      <c r="AJ12" s="257">
        <f t="shared" si="3"/>
        <v>-1</v>
      </c>
      <c r="AK12" s="257">
        <f t="shared" si="3"/>
        <v>-1</v>
      </c>
      <c r="AL12" s="257">
        <f t="shared" si="3"/>
        <v>-1</v>
      </c>
      <c r="AM12" s="257">
        <f t="shared" si="3"/>
        <v>-1</v>
      </c>
      <c r="AN12" s="257">
        <f t="shared" si="3"/>
        <v>-1</v>
      </c>
      <c r="AO12" s="257">
        <f t="shared" si="3"/>
        <v>-1</v>
      </c>
      <c r="AP12" s="257">
        <f t="shared" si="3"/>
        <v>-1</v>
      </c>
      <c r="AQ12" s="257">
        <f t="shared" si="3"/>
        <v>-1</v>
      </c>
      <c r="AR12" s="257">
        <f t="shared" si="3"/>
        <v>-1</v>
      </c>
      <c r="AS12" s="257">
        <f t="shared" si="3"/>
        <v>-1</v>
      </c>
      <c r="AT12" s="257">
        <f t="shared" si="3"/>
        <v>-1</v>
      </c>
      <c r="AU12" s="257">
        <f t="shared" si="3"/>
        <v>-1</v>
      </c>
      <c r="AV12" s="30"/>
      <c r="AW12" s="55"/>
      <c r="AX12" s="256"/>
      <c r="AY12" s="256"/>
      <c r="AZ12" s="256"/>
      <c r="BA12" s="31"/>
      <c r="BB12" s="32"/>
      <c r="BC12" s="143">
        <f>IF(V12&gt;0,H12,0)</f>
        <v>0</v>
      </c>
      <c r="BD12" s="142">
        <f>IF(AND(AB12&gt;0,AB12&lt;13),G12,0)</f>
        <v>0</v>
      </c>
      <c r="BE12" s="143">
        <f>IF(AND(AB12&gt;0,AB12&lt;13),H12*F12,0)</f>
        <v>0</v>
      </c>
      <c r="BF12" s="143">
        <f>AF12*AC12</f>
        <v>0</v>
      </c>
      <c r="BG12" s="215">
        <f>IF(AND(G12&lt;&gt;BF12,BF12&gt;0),"x","")</f>
      </c>
      <c r="BH12" s="143">
        <f>BF12*H12</f>
        <v>0</v>
      </c>
      <c r="BI12" s="34"/>
    </row>
    <row r="13" spans="1:61" ht="14.25" customHeight="1">
      <c r="A13" s="16">
        <v>4</v>
      </c>
      <c r="B13" s="109">
        <v>1</v>
      </c>
      <c r="C13" s="36" t="s">
        <v>6</v>
      </c>
      <c r="D13" s="36"/>
      <c r="E13" s="26" t="s">
        <v>7</v>
      </c>
      <c r="F13" s="27">
        <v>2</v>
      </c>
      <c r="G13" s="28">
        <f t="shared" si="1"/>
        <v>0</v>
      </c>
      <c r="H13" s="116"/>
      <c r="I13" s="114"/>
      <c r="J13" s="282"/>
      <c r="K13" s="193"/>
      <c r="L13" s="193"/>
      <c r="M13" s="193"/>
      <c r="N13" s="193"/>
      <c r="O13" s="193"/>
      <c r="P13" s="193"/>
      <c r="Q13" s="193"/>
      <c r="R13" s="29"/>
      <c r="S13" s="257"/>
      <c r="T13" s="257"/>
      <c r="U13" s="257"/>
      <c r="V13" s="37"/>
      <c r="W13" s="257"/>
      <c r="X13" s="257"/>
      <c r="Y13" s="257"/>
      <c r="Z13" s="257"/>
      <c r="AA13" s="257"/>
      <c r="AB13" s="142">
        <f>IF(ISNA(HLOOKUP(AG13,M1a,2,0)),0,HLOOKUP(AG13,M1a,2,0))</f>
        <v>3</v>
      </c>
      <c r="AC13" s="213">
        <f t="shared" si="2"/>
        <v>0</v>
      </c>
      <c r="AD13" s="213">
        <f>H13</f>
        <v>0</v>
      </c>
      <c r="AE13" s="342">
        <f>LARGE(M1jegyek,4)</f>
        <v>0</v>
      </c>
      <c r="AF13" s="214">
        <f>IF(ISNA(HLOOKUP(AB13,M1ax,7)),0,HLOOKUP(AB13,M1ax,6))</f>
        <v>1</v>
      </c>
      <c r="AG13" s="257">
        <f>IF($H13&gt;osztalyzat,10000*$H13+1000*$G13+100-$A13,10000*$H13+1000*(10-$G13)+100-$A13)</f>
        <v>10096</v>
      </c>
      <c r="AH13" s="257">
        <f aca="true" t="shared" si="4" ref="AH13:AU13">IF(AG13=AG$68,-1,AG13)</f>
        <v>10096</v>
      </c>
      <c r="AI13" s="257">
        <f t="shared" si="4"/>
        <v>10096</v>
      </c>
      <c r="AJ13" s="257">
        <f t="shared" si="4"/>
        <v>-1</v>
      </c>
      <c r="AK13" s="257">
        <f t="shared" si="4"/>
        <v>-1</v>
      </c>
      <c r="AL13" s="257">
        <f t="shared" si="4"/>
        <v>-1</v>
      </c>
      <c r="AM13" s="257">
        <f t="shared" si="4"/>
        <v>-1</v>
      </c>
      <c r="AN13" s="257">
        <f t="shared" si="4"/>
        <v>-1</v>
      </c>
      <c r="AO13" s="257">
        <f t="shared" si="4"/>
        <v>-1</v>
      </c>
      <c r="AP13" s="257">
        <f t="shared" si="4"/>
        <v>-1</v>
      </c>
      <c r="AQ13" s="257">
        <f t="shared" si="4"/>
        <v>-1</v>
      </c>
      <c r="AR13" s="257">
        <f t="shared" si="4"/>
        <v>-1</v>
      </c>
      <c r="AS13" s="257">
        <f t="shared" si="4"/>
        <v>-1</v>
      </c>
      <c r="AT13" s="257">
        <f t="shared" si="4"/>
        <v>-1</v>
      </c>
      <c r="AU13" s="257">
        <f t="shared" si="4"/>
        <v>-1</v>
      </c>
      <c r="AV13" s="30"/>
      <c r="AW13" s="55"/>
      <c r="AX13" s="256"/>
      <c r="AY13" s="256"/>
      <c r="AZ13" s="256"/>
      <c r="BA13" s="31"/>
      <c r="BB13" s="32"/>
      <c r="BC13" s="32">
        <f>IF(V13&gt;0,H13,"")</f>
      </c>
      <c r="BD13" s="142">
        <f>IF(AND(AB13&gt;0,AB13&lt;13),G13,0)</f>
        <v>0</v>
      </c>
      <c r="BE13" s="143">
        <f>IF(AND(AB13&gt;0,AB13&lt;13),H13*F13,0)</f>
        <v>0</v>
      </c>
      <c r="BF13" s="143">
        <f>AF13*AC13</f>
        <v>0</v>
      </c>
      <c r="BG13" s="215">
        <f>IF(AND(G13&lt;&gt;BF13,BF13&gt;0),"x","")</f>
      </c>
      <c r="BH13" s="143">
        <f>BF13*H13</f>
        <v>0</v>
      </c>
      <c r="BI13" s="34"/>
    </row>
    <row r="14" spans="1:61" ht="14.25" customHeight="1">
      <c r="A14" s="16">
        <v>5</v>
      </c>
      <c r="B14" s="109">
        <v>1</v>
      </c>
      <c r="C14" s="36" t="s">
        <v>8</v>
      </c>
      <c r="D14" s="36"/>
      <c r="E14" s="26" t="s">
        <v>9</v>
      </c>
      <c r="F14" s="27">
        <v>2</v>
      </c>
      <c r="G14" s="28">
        <f t="shared" si="1"/>
        <v>0</v>
      </c>
      <c r="H14" s="116"/>
      <c r="I14" s="114"/>
      <c r="J14" s="282"/>
      <c r="K14" s="193"/>
      <c r="L14" s="193"/>
      <c r="M14" s="193"/>
      <c r="N14" s="193"/>
      <c r="O14" s="193"/>
      <c r="P14" s="193"/>
      <c r="Q14" s="193"/>
      <c r="R14" s="29"/>
      <c r="S14" s="257"/>
      <c r="T14" s="257"/>
      <c r="U14" s="257"/>
      <c r="V14" s="29"/>
      <c r="W14" s="257"/>
      <c r="X14" s="257"/>
      <c r="Y14" s="257"/>
      <c r="Z14" s="257"/>
      <c r="AA14" s="257"/>
      <c r="AB14" s="142">
        <f>IF(ISNA(HLOOKUP(AG14,M1a,2,0)),0,HLOOKUP(AG14,M1a,2,0))</f>
        <v>4</v>
      </c>
      <c r="AC14" s="213">
        <f t="shared" si="2"/>
        <v>0</v>
      </c>
      <c r="AD14" s="213">
        <f>H14</f>
        <v>0</v>
      </c>
      <c r="AE14" s="342">
        <f>LARGE(M1jegyek,5)</f>
        <v>0</v>
      </c>
      <c r="AF14" s="214">
        <f>IF(ISNA(HLOOKUP(AB14,M1ax,7)),0,HLOOKUP(AB14,M1ax,6))</f>
        <v>1</v>
      </c>
      <c r="AG14" s="257">
        <f>IF($H14&gt;osztalyzat,10000*$H14+1000*$G14+100-$A14,10000*$H14+1000*(10-$G14)+100-$A14)</f>
        <v>10095</v>
      </c>
      <c r="AH14" s="257">
        <f aca="true" t="shared" si="5" ref="AH14:AU14">IF(AG14=AG$68,-1,AG14)</f>
        <v>10095</v>
      </c>
      <c r="AI14" s="257">
        <f t="shared" si="5"/>
        <v>10095</v>
      </c>
      <c r="AJ14" s="257">
        <f t="shared" si="5"/>
        <v>10095</v>
      </c>
      <c r="AK14" s="257">
        <f t="shared" si="5"/>
        <v>-1</v>
      </c>
      <c r="AL14" s="257">
        <f t="shared" si="5"/>
        <v>-1</v>
      </c>
      <c r="AM14" s="257">
        <f t="shared" si="5"/>
        <v>-1</v>
      </c>
      <c r="AN14" s="257">
        <f t="shared" si="5"/>
        <v>-1</v>
      </c>
      <c r="AO14" s="257">
        <f t="shared" si="5"/>
        <v>-1</v>
      </c>
      <c r="AP14" s="257">
        <f t="shared" si="5"/>
        <v>-1</v>
      </c>
      <c r="AQ14" s="257">
        <f t="shared" si="5"/>
        <v>-1</v>
      </c>
      <c r="AR14" s="257">
        <f t="shared" si="5"/>
        <v>-1</v>
      </c>
      <c r="AS14" s="257">
        <f t="shared" si="5"/>
        <v>-1</v>
      </c>
      <c r="AT14" s="257">
        <f t="shared" si="5"/>
        <v>-1</v>
      </c>
      <c r="AU14" s="257">
        <f t="shared" si="5"/>
        <v>-1</v>
      </c>
      <c r="AV14" s="30"/>
      <c r="AW14" s="55"/>
      <c r="AX14" s="256"/>
      <c r="AY14" s="256"/>
      <c r="AZ14" s="256"/>
      <c r="BA14" s="31"/>
      <c r="BB14" s="32"/>
      <c r="BC14" s="32">
        <f>IF(V14&gt;0,H14,"")</f>
      </c>
      <c r="BD14" s="142">
        <f>IF(AND(AB14&gt;0,AB14&lt;13),G14,0)</f>
        <v>0</v>
      </c>
      <c r="BE14" s="143">
        <f>IF(AND(AB14&gt;0,AB14&lt;13),H14*F14,0)</f>
        <v>0</v>
      </c>
      <c r="BF14" s="143">
        <f>AF14*AC14</f>
        <v>0</v>
      </c>
      <c r="BG14" s="215">
        <f>IF(AND(G14&lt;&gt;BF14,BF14&gt;0),"x","")</f>
      </c>
      <c r="BH14" s="143">
        <f>BF14*H14</f>
        <v>0</v>
      </c>
      <c r="BI14" s="34"/>
    </row>
    <row r="15" spans="1:61" ht="14.25" customHeight="1">
      <c r="A15" s="16">
        <v>6</v>
      </c>
      <c r="B15" s="110">
        <v>1</v>
      </c>
      <c r="C15" s="38" t="s">
        <v>10</v>
      </c>
      <c r="D15" s="38"/>
      <c r="E15" s="26" t="s">
        <v>11</v>
      </c>
      <c r="F15" s="27">
        <v>3</v>
      </c>
      <c r="G15" s="28">
        <f t="shared" si="1"/>
        <v>0</v>
      </c>
      <c r="H15" s="117"/>
      <c r="I15" s="114"/>
      <c r="J15" s="142">
        <f>IF(ISNA(HLOOKUP(K15,T1a,2,0)),0,HLOOKUP(K15,T1a,2,0))</f>
        <v>1</v>
      </c>
      <c r="K15" s="193">
        <f>10000*$H15+1000*$G15+100-$A15</f>
        <v>94</v>
      </c>
      <c r="L15" s="193">
        <f aca="true" t="shared" si="6" ref="L15:Q15">IF(K15=K$68,-1,K15)</f>
        <v>-1</v>
      </c>
      <c r="M15" s="193">
        <f t="shared" si="6"/>
        <v>-1</v>
      </c>
      <c r="N15" s="193">
        <f t="shared" si="6"/>
        <v>-1</v>
      </c>
      <c r="O15" s="193">
        <f t="shared" si="6"/>
        <v>-1</v>
      </c>
      <c r="P15" s="193">
        <f t="shared" si="6"/>
        <v>-1</v>
      </c>
      <c r="Q15" s="193">
        <f t="shared" si="6"/>
        <v>-1</v>
      </c>
      <c r="R15" s="29"/>
      <c r="S15" s="257"/>
      <c r="T15" s="257"/>
      <c r="U15" s="257"/>
      <c r="V15" s="29"/>
      <c r="W15" s="257"/>
      <c r="X15" s="257"/>
      <c r="Y15" s="257"/>
      <c r="Z15" s="257"/>
      <c r="AA15" s="257"/>
      <c r="AB15" s="260"/>
      <c r="AC15" s="192">
        <f t="shared" si="2"/>
        <v>0</v>
      </c>
      <c r="AD15" s="240"/>
      <c r="AE15" s="342">
        <f>LARGE(M1jegyek,6)</f>
        <v>0</v>
      </c>
      <c r="AF15" s="206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30"/>
      <c r="AW15" s="55"/>
      <c r="AX15" s="256"/>
      <c r="AY15" s="256"/>
      <c r="AZ15" s="256"/>
      <c r="BA15" s="143">
        <f>IF(J15&gt;0,H15,0)</f>
        <v>0</v>
      </c>
      <c r="BB15" s="32"/>
      <c r="BC15" s="32">
        <f>IF(V15&gt;0,H15,"")</f>
      </c>
      <c r="BD15" s="31"/>
      <c r="BE15" s="32"/>
      <c r="BF15" s="32"/>
      <c r="BG15" s="32"/>
      <c r="BH15" s="33">
        <f>IF(AB15&gt;0,IF(AB15&lt;9,H15*F15,""),"")</f>
      </c>
      <c r="BI15" s="34"/>
    </row>
    <row r="16" spans="1:61" ht="14.25" customHeight="1">
      <c r="A16" s="16">
        <v>7</v>
      </c>
      <c r="B16" s="110">
        <v>1</v>
      </c>
      <c r="C16" s="38" t="s">
        <v>12</v>
      </c>
      <c r="D16" s="38"/>
      <c r="E16" s="26" t="s">
        <v>13</v>
      </c>
      <c r="F16" s="27">
        <v>5</v>
      </c>
      <c r="G16" s="28">
        <f t="shared" si="1"/>
        <v>0</v>
      </c>
      <c r="H16" s="117"/>
      <c r="I16" s="114"/>
      <c r="J16" s="282"/>
      <c r="K16" s="193"/>
      <c r="L16" s="193"/>
      <c r="M16" s="193"/>
      <c r="N16" s="193"/>
      <c r="O16" s="193"/>
      <c r="P16" s="193"/>
      <c r="Q16" s="193"/>
      <c r="R16" s="29"/>
      <c r="S16" s="257"/>
      <c r="T16" s="257"/>
      <c r="U16" s="257"/>
      <c r="V16" s="143">
        <f>IF(ISNA(HLOOKUP(W16,ARa,2,0)),0,HLOOKUP(W16,ARa,2,0))</f>
        <v>2</v>
      </c>
      <c r="W16" s="257">
        <f>10000*$H16+1000*$G16+100-$A16</f>
        <v>93</v>
      </c>
      <c r="X16" s="257">
        <f>IF(W16=W$68,-1,W16)</f>
        <v>93</v>
      </c>
      <c r="Y16" s="257">
        <f>IF(X16=X$68,-1,X16)</f>
        <v>-1</v>
      </c>
      <c r="Z16" s="257">
        <f>IF(Y16=Y$68,-1,Y16)</f>
        <v>-1</v>
      </c>
      <c r="AA16" s="257">
        <f>IF(Z16=Z$68,-1,Z16)</f>
        <v>-1</v>
      </c>
      <c r="AB16" s="260"/>
      <c r="AC16" s="192">
        <f t="shared" si="2"/>
        <v>0</v>
      </c>
      <c r="AD16" s="240"/>
      <c r="AE16" s="342">
        <f>LARGE(M1jegyek,7)</f>
        <v>0</v>
      </c>
      <c r="AF16" s="206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30"/>
      <c r="AW16" s="55"/>
      <c r="AX16" s="256"/>
      <c r="AY16" s="256"/>
      <c r="AZ16" s="256"/>
      <c r="BA16" s="31"/>
      <c r="BB16" s="32"/>
      <c r="BC16" s="143">
        <f>IF(V16&gt;0,H16,0)</f>
        <v>0</v>
      </c>
      <c r="BD16" s="31"/>
      <c r="BE16" s="32"/>
      <c r="BF16" s="32"/>
      <c r="BG16" s="32"/>
      <c r="BH16" s="33">
        <f>IF(AB16&gt;0,IF(AB16&lt;9,H16*F16,""),"")</f>
      </c>
      <c r="BI16" s="34"/>
    </row>
    <row r="17" spans="1:61" ht="14.25" customHeight="1">
      <c r="A17" s="16">
        <v>8</v>
      </c>
      <c r="B17" s="111">
        <v>1</v>
      </c>
      <c r="C17" s="39" t="s">
        <v>14</v>
      </c>
      <c r="D17" s="39"/>
      <c r="E17" s="26" t="s">
        <v>15</v>
      </c>
      <c r="F17" s="27">
        <v>2</v>
      </c>
      <c r="G17" s="28">
        <f t="shared" si="1"/>
        <v>0</v>
      </c>
      <c r="H17" s="118"/>
      <c r="I17" s="114"/>
      <c r="J17" s="142">
        <f>IF(ISNA(HLOOKUP(K17,T1a,2,0)),0,HLOOKUP(K17,T1a,2,0))</f>
        <v>2</v>
      </c>
      <c r="K17" s="193">
        <f>10000*$H17+1000*$G17+100-$A17</f>
        <v>92</v>
      </c>
      <c r="L17" s="193">
        <f aca="true" t="shared" si="7" ref="L17:Q17">IF(K17=K$68,-1,K17)</f>
        <v>92</v>
      </c>
      <c r="M17" s="193">
        <f t="shared" si="7"/>
        <v>-1</v>
      </c>
      <c r="N17" s="193">
        <f t="shared" si="7"/>
        <v>-1</v>
      </c>
      <c r="O17" s="193">
        <f t="shared" si="7"/>
        <v>-1</v>
      </c>
      <c r="P17" s="193">
        <f t="shared" si="7"/>
        <v>-1</v>
      </c>
      <c r="Q17" s="193">
        <f t="shared" si="7"/>
        <v>-1</v>
      </c>
      <c r="R17" s="29"/>
      <c r="S17" s="257"/>
      <c r="T17" s="257"/>
      <c r="U17" s="257"/>
      <c r="V17" s="37"/>
      <c r="W17" s="257"/>
      <c r="X17" s="257"/>
      <c r="Y17" s="257"/>
      <c r="Z17" s="257"/>
      <c r="AA17" s="257"/>
      <c r="AB17" s="260"/>
      <c r="AC17" s="192">
        <f t="shared" si="2"/>
        <v>0</v>
      </c>
      <c r="AD17" s="240"/>
      <c r="AE17" s="342">
        <f>LARGE(M1jegyek,8)</f>
        <v>0</v>
      </c>
      <c r="AF17" s="206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30"/>
      <c r="AW17" s="55"/>
      <c r="AX17" s="256"/>
      <c r="AY17" s="256"/>
      <c r="AZ17" s="256"/>
      <c r="BA17" s="143">
        <f>IF(J17&gt;0,H17,0)</f>
        <v>0</v>
      </c>
      <c r="BB17" s="32"/>
      <c r="BC17" s="32"/>
      <c r="BD17" s="31"/>
      <c r="BE17" s="32"/>
      <c r="BF17" s="32"/>
      <c r="BG17" s="32"/>
      <c r="BH17" s="33">
        <f>IF(AB17&gt;0,IF(AB17&lt;9,H17*F17,""),"")</f>
      </c>
      <c r="BI17" s="34"/>
    </row>
    <row r="18" spans="1:61" ht="14.25" customHeight="1" thickBot="1">
      <c r="A18" s="186">
        <v>9</v>
      </c>
      <c r="B18" s="131">
        <v>1</v>
      </c>
      <c r="C18" s="40" t="s">
        <v>16</v>
      </c>
      <c r="D18" s="40"/>
      <c r="E18" s="41" t="s">
        <v>17</v>
      </c>
      <c r="F18" s="42">
        <v>5</v>
      </c>
      <c r="G18" s="43">
        <f t="shared" si="1"/>
        <v>0</v>
      </c>
      <c r="H18" s="119"/>
      <c r="I18" s="120"/>
      <c r="J18" s="284"/>
      <c r="K18" s="187"/>
      <c r="L18" s="187"/>
      <c r="M18" s="187"/>
      <c r="N18" s="187"/>
      <c r="O18" s="187"/>
      <c r="P18" s="187"/>
      <c r="Q18" s="187"/>
      <c r="R18" s="144">
        <f>IF(ISNA(HLOOKUP(S18,T2a,2,0)),0,HLOOKUP(S18,T2a,2,0))</f>
        <v>1</v>
      </c>
      <c r="S18" s="188">
        <f>10000*$H18+1000*$G18+100-$A18</f>
        <v>91</v>
      </c>
      <c r="T18" s="188">
        <f>IF(S18=S$68,-1,S18)</f>
        <v>-1</v>
      </c>
      <c r="U18" s="188">
        <f>IF(T18=T$68,-1,T18)</f>
        <v>-1</v>
      </c>
      <c r="V18" s="44"/>
      <c r="W18" s="188"/>
      <c r="X18" s="188"/>
      <c r="Y18" s="188"/>
      <c r="Z18" s="188"/>
      <c r="AA18" s="188"/>
      <c r="AB18" s="262"/>
      <c r="AC18" s="192">
        <f t="shared" si="2"/>
        <v>0</v>
      </c>
      <c r="AD18" s="240"/>
      <c r="AE18" s="342">
        <f>LARGE(M1jegyek,9)</f>
        <v>0</v>
      </c>
      <c r="AF18" s="206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45"/>
      <c r="AW18" s="44"/>
      <c r="AX18" s="189"/>
      <c r="AY18" s="189"/>
      <c r="AZ18" s="189"/>
      <c r="BA18" s="46"/>
      <c r="BB18" s="144">
        <f>IF(R18&gt;0,H18,0)</f>
        <v>0</v>
      </c>
      <c r="BC18" s="48"/>
      <c r="BD18" s="267"/>
      <c r="BE18" s="47"/>
      <c r="BF18" s="47"/>
      <c r="BG18" s="47"/>
      <c r="BH18" s="49">
        <f>IF(AB18&gt;0,IF(AB18&lt;9,H18*F18,""),"")</f>
      </c>
      <c r="BI18" s="49"/>
    </row>
    <row r="19" spans="1:61" ht="14.25" customHeight="1">
      <c r="A19" s="184">
        <v>10</v>
      </c>
      <c r="B19" s="130">
        <v>2</v>
      </c>
      <c r="C19" s="51" t="s">
        <v>18</v>
      </c>
      <c r="D19" s="51"/>
      <c r="E19" s="52" t="s">
        <v>19</v>
      </c>
      <c r="F19" s="301">
        <v>3</v>
      </c>
      <c r="G19" s="54">
        <f t="shared" si="1"/>
        <v>0</v>
      </c>
      <c r="H19" s="121"/>
      <c r="I19" s="122"/>
      <c r="J19" s="292"/>
      <c r="K19" s="193"/>
      <c r="L19" s="193"/>
      <c r="M19" s="193"/>
      <c r="N19" s="193"/>
      <c r="O19" s="193"/>
      <c r="P19" s="193"/>
      <c r="Q19" s="193"/>
      <c r="R19" s="55"/>
      <c r="S19" s="257"/>
      <c r="T19" s="257"/>
      <c r="U19" s="257"/>
      <c r="V19" s="55"/>
      <c r="W19" s="257"/>
      <c r="X19" s="257"/>
      <c r="Y19" s="257"/>
      <c r="Z19" s="257"/>
      <c r="AA19" s="257"/>
      <c r="AB19" s="266">
        <f>IF(ISNA(HLOOKUP(AG19,M1a,2,0)),0,HLOOKUP(AG19,M1a,2,0))</f>
        <v>5</v>
      </c>
      <c r="AC19" s="213">
        <f>G19</f>
        <v>0</v>
      </c>
      <c r="AD19" s="213">
        <f>H19</f>
        <v>0</v>
      </c>
      <c r="AE19" s="342">
        <f>LARGE(M1jegyek,10)</f>
        <v>0</v>
      </c>
      <c r="AF19" s="214">
        <f>IF(ISNA(HLOOKUP(AB19,M1ax,7)),0,HLOOKUP(AB19,M1ax,6))</f>
        <v>1</v>
      </c>
      <c r="AG19" s="257">
        <f>IF($H19&gt;osztalyzat,10000*$H19+1000*$G19+100-$A19,10000*$H19+1000*(10-$G19)+100-$A19)</f>
        <v>10090</v>
      </c>
      <c r="AH19" s="257">
        <f aca="true" t="shared" si="8" ref="AH19:AU19">IF(AG19=AG$68,-1,AG19)</f>
        <v>10090</v>
      </c>
      <c r="AI19" s="257">
        <f t="shared" si="8"/>
        <v>10090</v>
      </c>
      <c r="AJ19" s="257">
        <f t="shared" si="8"/>
        <v>10090</v>
      </c>
      <c r="AK19" s="257">
        <f t="shared" si="8"/>
        <v>10090</v>
      </c>
      <c r="AL19" s="257">
        <f t="shared" si="8"/>
        <v>-1</v>
      </c>
      <c r="AM19" s="257">
        <f t="shared" si="8"/>
        <v>-1</v>
      </c>
      <c r="AN19" s="257">
        <f t="shared" si="8"/>
        <v>-1</v>
      </c>
      <c r="AO19" s="257">
        <f t="shared" si="8"/>
        <v>-1</v>
      </c>
      <c r="AP19" s="257">
        <f t="shared" si="8"/>
        <v>-1</v>
      </c>
      <c r="AQ19" s="257">
        <f t="shared" si="8"/>
        <v>-1</v>
      </c>
      <c r="AR19" s="257">
        <f t="shared" si="8"/>
        <v>-1</v>
      </c>
      <c r="AS19" s="257">
        <f t="shared" si="8"/>
        <v>-1</v>
      </c>
      <c r="AT19" s="257">
        <f t="shared" si="8"/>
        <v>-1</v>
      </c>
      <c r="AU19" s="257">
        <f t="shared" si="8"/>
        <v>-1</v>
      </c>
      <c r="AV19" s="56"/>
      <c r="AW19" s="55"/>
      <c r="AX19" s="256"/>
      <c r="AY19" s="256"/>
      <c r="AZ19" s="256"/>
      <c r="BA19" s="70"/>
      <c r="BB19" s="9"/>
      <c r="BC19" s="9"/>
      <c r="BD19" s="142">
        <f>IF(AND(AB19&gt;0,AB19&lt;13),G19,0)</f>
        <v>0</v>
      </c>
      <c r="BE19" s="143">
        <f>IF(AND(AB19&gt;0,AB19&lt;13),H19*F19,0)</f>
        <v>0</v>
      </c>
      <c r="BF19" s="143">
        <f>AF19*AC19</f>
        <v>0</v>
      </c>
      <c r="BG19" s="215">
        <f>IF(AND(G19&lt;&gt;BF19,BF19&gt;0),"x","")</f>
      </c>
      <c r="BH19" s="185">
        <f>BF19*H19</f>
        <v>0</v>
      </c>
      <c r="BI19" s="59"/>
    </row>
    <row r="20" spans="1:61" ht="14.25" customHeight="1">
      <c r="A20" s="50">
        <v>11</v>
      </c>
      <c r="B20" s="108">
        <v>2</v>
      </c>
      <c r="C20" s="35" t="s">
        <v>20</v>
      </c>
      <c r="D20" s="35"/>
      <c r="E20" s="26" t="s">
        <v>21</v>
      </c>
      <c r="F20" s="299">
        <v>5</v>
      </c>
      <c r="G20" s="28">
        <f t="shared" si="1"/>
        <v>0</v>
      </c>
      <c r="H20" s="115"/>
      <c r="I20" s="114"/>
      <c r="J20" s="282"/>
      <c r="K20" s="193"/>
      <c r="L20" s="193"/>
      <c r="M20" s="193"/>
      <c r="N20" s="193"/>
      <c r="O20" s="193"/>
      <c r="P20" s="193"/>
      <c r="Q20" s="193"/>
      <c r="R20" s="29"/>
      <c r="S20" s="257"/>
      <c r="T20" s="257"/>
      <c r="U20" s="257"/>
      <c r="V20" s="143">
        <f>IF(ISNA(HLOOKUP(W20,ARa,2,0)),0,HLOOKUP(W20,ARa,2,0))</f>
        <v>3</v>
      </c>
      <c r="W20" s="257">
        <f>10000*$H20+1000*$G20+100-$A20</f>
        <v>89</v>
      </c>
      <c r="X20" s="257">
        <f>IF(W20=W$68,-1,W20)</f>
        <v>89</v>
      </c>
      <c r="Y20" s="257">
        <f>IF(X20=X$68,-1,X20)</f>
        <v>89</v>
      </c>
      <c r="Z20" s="257">
        <f>IF(Y20=Y$68,-1,Y20)</f>
        <v>-1</v>
      </c>
      <c r="AA20" s="257">
        <f>IF(Z20=Z$68,-1,Z20)</f>
        <v>-1</v>
      </c>
      <c r="AB20" s="142">
        <f>IF(ISNA(HLOOKUP(AG20,M1a,2,0)),0,HLOOKUP(AG20,M1a,2,0))</f>
        <v>6</v>
      </c>
      <c r="AC20" s="213">
        <f aca="true" t="shared" si="9" ref="AC20:AC67">G20</f>
        <v>0</v>
      </c>
      <c r="AD20" s="213">
        <f>H20</f>
        <v>0</v>
      </c>
      <c r="AE20" s="342">
        <f>LARGE(M1jegyek,11)</f>
        <v>0</v>
      </c>
      <c r="AF20" s="214">
        <f>IF(ISNA(HLOOKUP(AB20,M1ax,7)),0,HLOOKUP(AB20,M1ax,6))</f>
        <v>1</v>
      </c>
      <c r="AG20" s="257">
        <f>IF($H20&gt;osztalyzat,10000*$H20+1000*$G20+100-$A20,10000*$H20+1000*(10-$G20)+100-$A20)</f>
        <v>10089</v>
      </c>
      <c r="AH20" s="257">
        <f aca="true" t="shared" si="10" ref="AH20:AU20">IF(AG20=AG$68,-1,AG20)</f>
        <v>10089</v>
      </c>
      <c r="AI20" s="257">
        <f t="shared" si="10"/>
        <v>10089</v>
      </c>
      <c r="AJ20" s="257">
        <f t="shared" si="10"/>
        <v>10089</v>
      </c>
      <c r="AK20" s="257">
        <f t="shared" si="10"/>
        <v>10089</v>
      </c>
      <c r="AL20" s="257">
        <f t="shared" si="10"/>
        <v>10089</v>
      </c>
      <c r="AM20" s="257">
        <f t="shared" si="10"/>
        <v>-1</v>
      </c>
      <c r="AN20" s="257">
        <f t="shared" si="10"/>
        <v>-1</v>
      </c>
      <c r="AO20" s="257">
        <f t="shared" si="10"/>
        <v>-1</v>
      </c>
      <c r="AP20" s="257">
        <f t="shared" si="10"/>
        <v>-1</v>
      </c>
      <c r="AQ20" s="257">
        <f t="shared" si="10"/>
        <v>-1</v>
      </c>
      <c r="AR20" s="257">
        <f t="shared" si="10"/>
        <v>-1</v>
      </c>
      <c r="AS20" s="257">
        <f t="shared" si="10"/>
        <v>-1</v>
      </c>
      <c r="AT20" s="257">
        <f t="shared" si="10"/>
        <v>-1</v>
      </c>
      <c r="AU20" s="257">
        <f t="shared" si="10"/>
        <v>-1</v>
      </c>
      <c r="AV20" s="30"/>
      <c r="AW20" s="55"/>
      <c r="AX20" s="256"/>
      <c r="AY20" s="256"/>
      <c r="AZ20" s="256"/>
      <c r="BA20" s="31"/>
      <c r="BB20" s="146"/>
      <c r="BC20" s="143">
        <f>IF(V20&gt;0,H20,0)</f>
        <v>0</v>
      </c>
      <c r="BD20" s="142">
        <f>IF(AND(AB20&gt;0,AB20&lt;13),G20,0)</f>
        <v>0</v>
      </c>
      <c r="BE20" s="143">
        <f>IF(AND(AB20&gt;0,AB20&lt;13),H20*F20,0)</f>
        <v>0</v>
      </c>
      <c r="BF20" s="143">
        <f>AF20*AC20</f>
        <v>0</v>
      </c>
      <c r="BG20" s="215">
        <f>IF(AND(G20&lt;&gt;BF20,BF20&gt;0),"x","")</f>
      </c>
      <c r="BH20" s="185">
        <f>BF20*H20</f>
        <v>0</v>
      </c>
      <c r="BI20" s="34"/>
    </row>
    <row r="21" spans="1:61" ht="14.25" customHeight="1">
      <c r="A21" s="50">
        <v>12</v>
      </c>
      <c r="B21" s="109">
        <v>2</v>
      </c>
      <c r="C21" s="36" t="s">
        <v>22</v>
      </c>
      <c r="D21" s="36"/>
      <c r="E21" s="26" t="s">
        <v>23</v>
      </c>
      <c r="F21" s="27">
        <v>4</v>
      </c>
      <c r="G21" s="28">
        <f t="shared" si="1"/>
        <v>0</v>
      </c>
      <c r="H21" s="116"/>
      <c r="I21" s="114"/>
      <c r="J21" s="282"/>
      <c r="K21" s="193"/>
      <c r="L21" s="193"/>
      <c r="M21" s="193"/>
      <c r="N21" s="193"/>
      <c r="O21" s="193"/>
      <c r="P21" s="193"/>
      <c r="Q21" s="193"/>
      <c r="R21" s="29"/>
      <c r="S21" s="257"/>
      <c r="T21" s="257"/>
      <c r="U21" s="257"/>
      <c r="V21" s="37"/>
      <c r="W21" s="257"/>
      <c r="X21" s="257"/>
      <c r="Y21" s="257"/>
      <c r="Z21" s="257"/>
      <c r="AA21" s="257"/>
      <c r="AB21" s="142">
        <f>IF(ISNA(HLOOKUP(AG21,M1a,2,0)),0,HLOOKUP(AG21,M1a,2,0))</f>
        <v>7</v>
      </c>
      <c r="AC21" s="213">
        <f t="shared" si="9"/>
        <v>0</v>
      </c>
      <c r="AD21" s="213">
        <f>H21</f>
        <v>0</v>
      </c>
      <c r="AE21" s="342">
        <f>LARGE(M1jegyek,12)</f>
        <v>0</v>
      </c>
      <c r="AF21" s="214">
        <f>IF(ISNA(HLOOKUP(AB21,M1ax,7)),0,HLOOKUP(AB21,M1ax,6))</f>
        <v>1</v>
      </c>
      <c r="AG21" s="257">
        <f>IF($H21&gt;osztalyzat,10000*$H21+1000*$G21+100-$A21,10000*$H21+1000*(10-$G21)+100-$A21)</f>
        <v>10088</v>
      </c>
      <c r="AH21" s="257">
        <f aca="true" t="shared" si="11" ref="AH21:AU21">IF(AG21=AG$68,-1,AG21)</f>
        <v>10088</v>
      </c>
      <c r="AI21" s="257">
        <f t="shared" si="11"/>
        <v>10088</v>
      </c>
      <c r="AJ21" s="257">
        <f t="shared" si="11"/>
        <v>10088</v>
      </c>
      <c r="AK21" s="257">
        <f t="shared" si="11"/>
        <v>10088</v>
      </c>
      <c r="AL21" s="257">
        <f t="shared" si="11"/>
        <v>10088</v>
      </c>
      <c r="AM21" s="257">
        <f t="shared" si="11"/>
        <v>10088</v>
      </c>
      <c r="AN21" s="257">
        <f t="shared" si="11"/>
        <v>-1</v>
      </c>
      <c r="AO21" s="257">
        <f t="shared" si="11"/>
        <v>-1</v>
      </c>
      <c r="AP21" s="257">
        <f t="shared" si="11"/>
        <v>-1</v>
      </c>
      <c r="AQ21" s="257">
        <f t="shared" si="11"/>
        <v>-1</v>
      </c>
      <c r="AR21" s="257">
        <f t="shared" si="11"/>
        <v>-1</v>
      </c>
      <c r="AS21" s="257">
        <f t="shared" si="11"/>
        <v>-1</v>
      </c>
      <c r="AT21" s="257">
        <f t="shared" si="11"/>
        <v>-1</v>
      </c>
      <c r="AU21" s="257">
        <f t="shared" si="11"/>
        <v>-1</v>
      </c>
      <c r="AV21" s="30"/>
      <c r="AW21" s="55"/>
      <c r="AX21" s="256"/>
      <c r="AY21" s="256"/>
      <c r="AZ21" s="256"/>
      <c r="BA21" s="31"/>
      <c r="BB21" s="32"/>
      <c r="BC21" s="32"/>
      <c r="BD21" s="142">
        <f>IF(AND(AB21&gt;0,AB21&lt;13),G21,0)</f>
        <v>0</v>
      </c>
      <c r="BE21" s="143">
        <f>IF(AND(AB21&gt;0,AB21&lt;13),H21*F21,0)</f>
        <v>0</v>
      </c>
      <c r="BF21" s="143">
        <f>AF21*AC21</f>
        <v>0</v>
      </c>
      <c r="BG21" s="215">
        <f>IF(AND(G21&lt;&gt;BF21,BF21&gt;0),"x","")</f>
      </c>
      <c r="BH21" s="185">
        <f>BF21*H21</f>
        <v>0</v>
      </c>
      <c r="BI21" s="34"/>
    </row>
    <row r="22" spans="1:61" ht="14.25" customHeight="1">
      <c r="A22" s="50">
        <v>13</v>
      </c>
      <c r="B22" s="109">
        <v>2</v>
      </c>
      <c r="C22" s="36" t="s">
        <v>24</v>
      </c>
      <c r="D22" s="36"/>
      <c r="E22" s="26" t="s">
        <v>25</v>
      </c>
      <c r="F22" s="27">
        <v>4</v>
      </c>
      <c r="G22" s="28">
        <f t="shared" si="1"/>
        <v>0</v>
      </c>
      <c r="H22" s="116"/>
      <c r="I22" s="114"/>
      <c r="J22" s="282"/>
      <c r="K22" s="193"/>
      <c r="L22" s="193"/>
      <c r="M22" s="193"/>
      <c r="N22" s="193"/>
      <c r="O22" s="193"/>
      <c r="P22" s="193"/>
      <c r="Q22" s="193"/>
      <c r="R22" s="29"/>
      <c r="S22" s="257"/>
      <c r="T22" s="257"/>
      <c r="U22" s="257"/>
      <c r="V22" s="29"/>
      <c r="W22" s="257"/>
      <c r="X22" s="257"/>
      <c r="Y22" s="257"/>
      <c r="Z22" s="257"/>
      <c r="AA22" s="257"/>
      <c r="AB22" s="142">
        <f>IF(ISNA(HLOOKUP(AG22,M1a,2,0)),0,HLOOKUP(AG22,M1a,2,0))</f>
        <v>8</v>
      </c>
      <c r="AC22" s="213">
        <f t="shared" si="9"/>
        <v>0</v>
      </c>
      <c r="AD22" s="213">
        <f>H22</f>
        <v>0</v>
      </c>
      <c r="AE22" s="343">
        <f>LARGE(M1jegyek,13)</f>
        <v>0</v>
      </c>
      <c r="AF22" s="214">
        <f>IF(ISNA(HLOOKUP(AB22,M1ax,7)),0,HLOOKUP(AB22,M1ax,6))</f>
        <v>1</v>
      </c>
      <c r="AG22" s="257">
        <f>IF($H22&gt;osztalyzat,10000*$H22+1000*$G22+100-$A22,10000*$H22+1000*(10-$G22)+100-$A22)</f>
        <v>10087</v>
      </c>
      <c r="AH22" s="257">
        <f aca="true" t="shared" si="12" ref="AH22:AU22">IF(AG22=AG$68,-1,AG22)</f>
        <v>10087</v>
      </c>
      <c r="AI22" s="257">
        <f t="shared" si="12"/>
        <v>10087</v>
      </c>
      <c r="AJ22" s="257">
        <f t="shared" si="12"/>
        <v>10087</v>
      </c>
      <c r="AK22" s="257">
        <f t="shared" si="12"/>
        <v>10087</v>
      </c>
      <c r="AL22" s="257">
        <f t="shared" si="12"/>
        <v>10087</v>
      </c>
      <c r="AM22" s="257">
        <f t="shared" si="12"/>
        <v>10087</v>
      </c>
      <c r="AN22" s="257">
        <f t="shared" si="12"/>
        <v>10087</v>
      </c>
      <c r="AO22" s="257">
        <f t="shared" si="12"/>
        <v>-1</v>
      </c>
      <c r="AP22" s="257">
        <f t="shared" si="12"/>
        <v>-1</v>
      </c>
      <c r="AQ22" s="257">
        <f t="shared" si="12"/>
        <v>-1</v>
      </c>
      <c r="AR22" s="257">
        <f t="shared" si="12"/>
        <v>-1</v>
      </c>
      <c r="AS22" s="257">
        <f t="shared" si="12"/>
        <v>-1</v>
      </c>
      <c r="AT22" s="257">
        <f t="shared" si="12"/>
        <v>-1</v>
      </c>
      <c r="AU22" s="257">
        <f t="shared" si="12"/>
        <v>-1</v>
      </c>
      <c r="AV22" s="30"/>
      <c r="AW22" s="55"/>
      <c r="AX22" s="256"/>
      <c r="AY22" s="256"/>
      <c r="AZ22" s="256"/>
      <c r="BA22" s="31"/>
      <c r="BB22" s="32"/>
      <c r="BC22" s="32"/>
      <c r="BD22" s="142">
        <f>IF(AND(AB22&gt;0,AB22&lt;13),G22,0)</f>
        <v>0</v>
      </c>
      <c r="BE22" s="143">
        <f>IF(AND(AB22&gt;0,AB22&lt;13),H22*F22,0)</f>
        <v>0</v>
      </c>
      <c r="BF22" s="143">
        <f>AF22*AC22</f>
        <v>0</v>
      </c>
      <c r="BG22" s="215">
        <f>IF(AND(G22&lt;&gt;BF22,BF22&gt;0),"x","")</f>
      </c>
      <c r="BH22" s="185">
        <f>BF22*H22</f>
        <v>0</v>
      </c>
      <c r="BI22" s="34"/>
    </row>
    <row r="23" spans="1:61" ht="14.25" customHeight="1">
      <c r="A23" s="50">
        <v>14</v>
      </c>
      <c r="B23" s="110">
        <v>2</v>
      </c>
      <c r="C23" s="38" t="s">
        <v>26</v>
      </c>
      <c r="D23" s="38"/>
      <c r="E23" s="26" t="s">
        <v>27</v>
      </c>
      <c r="F23" s="27">
        <v>3</v>
      </c>
      <c r="G23" s="28">
        <f t="shared" si="1"/>
        <v>0</v>
      </c>
      <c r="H23" s="117"/>
      <c r="I23" s="114"/>
      <c r="J23" s="142">
        <f>IF(ISNA(HLOOKUP(K23,T1a,2,0)),0,HLOOKUP(K23,T1a,2,0))</f>
        <v>3</v>
      </c>
      <c r="K23" s="193">
        <f>10000*$H23+1000*$G23+100-$A23</f>
        <v>86</v>
      </c>
      <c r="L23" s="193">
        <f aca="true" t="shared" si="13" ref="L23:Q23">IF(K23=K$68,-1,K23)</f>
        <v>86</v>
      </c>
      <c r="M23" s="193">
        <f t="shared" si="13"/>
        <v>86</v>
      </c>
      <c r="N23" s="193">
        <f t="shared" si="13"/>
        <v>-1</v>
      </c>
      <c r="O23" s="193">
        <f t="shared" si="13"/>
        <v>-1</v>
      </c>
      <c r="P23" s="193">
        <f t="shared" si="13"/>
        <v>-1</v>
      </c>
      <c r="Q23" s="193">
        <f t="shared" si="13"/>
        <v>-1</v>
      </c>
      <c r="R23" s="29"/>
      <c r="S23" s="257"/>
      <c r="T23" s="257"/>
      <c r="U23" s="257"/>
      <c r="V23" s="29"/>
      <c r="W23" s="257"/>
      <c r="X23" s="257"/>
      <c r="Y23" s="257"/>
      <c r="Z23" s="257"/>
      <c r="AA23" s="257"/>
      <c r="AB23" s="260"/>
      <c r="AC23" s="192">
        <f t="shared" si="9"/>
        <v>0</v>
      </c>
      <c r="AD23" s="240"/>
      <c r="AE23" s="344">
        <f>LARGE(M2jegyek,1)</f>
        <v>0</v>
      </c>
      <c r="AF23" s="206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30"/>
      <c r="AW23" s="55"/>
      <c r="AX23" s="256"/>
      <c r="AY23" s="256"/>
      <c r="AZ23" s="256"/>
      <c r="BA23" s="143">
        <f>IF(J23&gt;0,H23,0)</f>
        <v>0</v>
      </c>
      <c r="BB23" s="32"/>
      <c r="BC23" s="32"/>
      <c r="BD23" s="31"/>
      <c r="BE23" s="32"/>
      <c r="BF23" s="32"/>
      <c r="BG23" s="32"/>
      <c r="BH23" s="33">
        <f>IF(AB23&gt;0,IF(AB23&lt;9,H23*F23,""),"")</f>
      </c>
      <c r="BI23" s="34"/>
    </row>
    <row r="24" spans="1:61" ht="14.25" customHeight="1">
      <c r="A24" s="50">
        <v>15</v>
      </c>
      <c r="B24" s="110">
        <v>2</v>
      </c>
      <c r="C24" s="38" t="s">
        <v>28</v>
      </c>
      <c r="D24" s="38"/>
      <c r="E24" s="26" t="s">
        <v>29</v>
      </c>
      <c r="F24" s="27">
        <v>4</v>
      </c>
      <c r="G24" s="28">
        <f t="shared" si="1"/>
        <v>0</v>
      </c>
      <c r="H24" s="117"/>
      <c r="I24" s="114"/>
      <c r="J24" s="282"/>
      <c r="K24" s="193"/>
      <c r="L24" s="193"/>
      <c r="M24" s="193"/>
      <c r="N24" s="193"/>
      <c r="O24" s="193"/>
      <c r="P24" s="193"/>
      <c r="Q24" s="193"/>
      <c r="R24" s="29"/>
      <c r="S24" s="257"/>
      <c r="T24" s="257"/>
      <c r="U24" s="257"/>
      <c r="V24" s="143">
        <f>IF(ISNA(HLOOKUP(W24,ARa,2,0)),0,HLOOKUP(W24,ARa,2,0))</f>
        <v>4</v>
      </c>
      <c r="W24" s="257">
        <f>10000*$H24+1000*$G24+100-$A24</f>
        <v>85</v>
      </c>
      <c r="X24" s="257">
        <f>IF(W24=W$68,-1,W24)</f>
        <v>85</v>
      </c>
      <c r="Y24" s="257">
        <f>IF(X24=X$68,-1,X24)</f>
        <v>85</v>
      </c>
      <c r="Z24" s="257">
        <f>IF(Y24=Y$68,-1,Y24)</f>
        <v>85</v>
      </c>
      <c r="AA24" s="257">
        <f>IF(Z24=Z$68,-1,Z24)</f>
        <v>-1</v>
      </c>
      <c r="AB24" s="260"/>
      <c r="AC24" s="192">
        <f t="shared" si="9"/>
        <v>0</v>
      </c>
      <c r="AD24" s="240"/>
      <c r="AE24" s="345">
        <f>LARGE(M2jegyek,2)</f>
        <v>0</v>
      </c>
      <c r="AF24" s="206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30"/>
      <c r="AW24" s="55"/>
      <c r="AX24" s="256"/>
      <c r="AY24" s="256"/>
      <c r="AZ24" s="256"/>
      <c r="BA24" s="31"/>
      <c r="BB24" s="32"/>
      <c r="BC24" s="143">
        <f>IF(V24&gt;0,H24,0)</f>
        <v>0</v>
      </c>
      <c r="BD24" s="31"/>
      <c r="BE24" s="32"/>
      <c r="BF24" s="32"/>
      <c r="BG24" s="32"/>
      <c r="BH24" s="33">
        <f>IF(AB24&gt;0,IF(AB24&lt;9,H24*F24,""),"")</f>
      </c>
      <c r="BI24" s="34"/>
    </row>
    <row r="25" spans="1:61" ht="14.25" customHeight="1">
      <c r="A25" s="50">
        <v>16</v>
      </c>
      <c r="B25" s="111">
        <v>2</v>
      </c>
      <c r="C25" s="39" t="s">
        <v>30</v>
      </c>
      <c r="D25" s="39"/>
      <c r="E25" s="26" t="s">
        <v>31</v>
      </c>
      <c r="F25" s="27">
        <v>2</v>
      </c>
      <c r="G25" s="28">
        <f t="shared" si="1"/>
        <v>0</v>
      </c>
      <c r="H25" s="118"/>
      <c r="I25" s="114"/>
      <c r="J25" s="142">
        <f>IF(ISNA(HLOOKUP(K25,T1a,2,0)),0,HLOOKUP(K25,T1a,2,0))</f>
        <v>4</v>
      </c>
      <c r="K25" s="193">
        <f>10000*$H25+1000*$G25+100-$A25</f>
        <v>84</v>
      </c>
      <c r="L25" s="193">
        <f aca="true" t="shared" si="14" ref="L25:Q25">IF(K25=K$68,-1,K25)</f>
        <v>84</v>
      </c>
      <c r="M25" s="193">
        <f t="shared" si="14"/>
        <v>84</v>
      </c>
      <c r="N25" s="193">
        <f t="shared" si="14"/>
        <v>84</v>
      </c>
      <c r="O25" s="193">
        <f t="shared" si="14"/>
        <v>-1</v>
      </c>
      <c r="P25" s="193">
        <f t="shared" si="14"/>
        <v>-1</v>
      </c>
      <c r="Q25" s="193">
        <f t="shared" si="14"/>
        <v>-1</v>
      </c>
      <c r="R25" s="29"/>
      <c r="S25" s="257"/>
      <c r="T25" s="257"/>
      <c r="U25" s="257"/>
      <c r="V25" s="37"/>
      <c r="W25" s="257"/>
      <c r="X25" s="257"/>
      <c r="Y25" s="257"/>
      <c r="Z25" s="257"/>
      <c r="AA25" s="257"/>
      <c r="AB25" s="260"/>
      <c r="AC25" s="192">
        <f t="shared" si="9"/>
        <v>0</v>
      </c>
      <c r="AD25" s="240"/>
      <c r="AE25" s="346">
        <f>LARGE(M2jegyek,3)</f>
        <v>0</v>
      </c>
      <c r="AF25" s="206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30"/>
      <c r="AW25" s="55"/>
      <c r="AX25" s="256"/>
      <c r="AY25" s="256"/>
      <c r="AZ25" s="256"/>
      <c r="BA25" s="143">
        <f>IF(J25&gt;0,H25,0)</f>
        <v>0</v>
      </c>
      <c r="BB25" s="32"/>
      <c r="BC25" s="32"/>
      <c r="BD25" s="31"/>
      <c r="BE25" s="32"/>
      <c r="BF25" s="32"/>
      <c r="BG25" s="32"/>
      <c r="BH25" s="33">
        <f>IF(AB25&gt;0,IF(AB25&lt;9,H25*F25,""),"")</f>
      </c>
      <c r="BI25" s="34"/>
    </row>
    <row r="26" spans="1:61" ht="14.25" customHeight="1" thickBot="1">
      <c r="A26" s="50">
        <v>17</v>
      </c>
      <c r="B26" s="131">
        <v>2</v>
      </c>
      <c r="C26" s="40" t="s">
        <v>32</v>
      </c>
      <c r="D26" s="40"/>
      <c r="E26" s="41" t="s">
        <v>33</v>
      </c>
      <c r="F26" s="42">
        <v>6</v>
      </c>
      <c r="G26" s="43">
        <f t="shared" si="1"/>
        <v>0</v>
      </c>
      <c r="H26" s="119"/>
      <c r="I26" s="120"/>
      <c r="J26" s="284"/>
      <c r="K26" s="193"/>
      <c r="L26" s="193"/>
      <c r="M26" s="193"/>
      <c r="N26" s="193"/>
      <c r="O26" s="193"/>
      <c r="P26" s="193"/>
      <c r="Q26" s="193"/>
      <c r="R26" s="145">
        <f>IF(ISNA(HLOOKUP(S26,T2a,2,0)),0,HLOOKUP(S26,T2a,2,0))</f>
        <v>2</v>
      </c>
      <c r="S26" s="257">
        <f>10000*$H26+1000*$G26+100-$A26</f>
        <v>83</v>
      </c>
      <c r="T26" s="257">
        <f>IF(S26=S$68,-1,S26)</f>
        <v>83</v>
      </c>
      <c r="U26" s="257">
        <f>IF(T26=T$68,-1,T26)</f>
        <v>-1</v>
      </c>
      <c r="V26" s="44"/>
      <c r="W26" s="257"/>
      <c r="X26" s="257"/>
      <c r="Y26" s="257"/>
      <c r="Z26" s="257"/>
      <c r="AA26" s="257"/>
      <c r="AB26" s="262"/>
      <c r="AC26" s="192">
        <f t="shared" si="9"/>
        <v>0</v>
      </c>
      <c r="AD26" s="240"/>
      <c r="AE26" s="240"/>
      <c r="AF26" s="206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45"/>
      <c r="AW26" s="55"/>
      <c r="AX26" s="256"/>
      <c r="AY26" s="256"/>
      <c r="AZ26" s="256"/>
      <c r="BA26" s="46"/>
      <c r="BB26" s="144">
        <f>IF(R26&gt;0,H26,0)</f>
        <v>0</v>
      </c>
      <c r="BC26" s="48"/>
      <c r="BD26" s="267"/>
      <c r="BE26" s="47"/>
      <c r="BF26" s="47"/>
      <c r="BG26" s="47"/>
      <c r="BH26" s="49">
        <f>IF(AB26&gt;0,IF(AB26&lt;9,H26*F26,""),"")</f>
      </c>
      <c r="BI26" s="49"/>
    </row>
    <row r="27" spans="1:61" ht="14.25" customHeight="1">
      <c r="A27" s="50">
        <v>18</v>
      </c>
      <c r="B27" s="130">
        <v>3</v>
      </c>
      <c r="C27" s="51" t="s">
        <v>34</v>
      </c>
      <c r="D27" s="51"/>
      <c r="E27" s="52" t="s">
        <v>35</v>
      </c>
      <c r="F27" s="53">
        <v>3</v>
      </c>
      <c r="G27" s="54">
        <f t="shared" si="1"/>
        <v>0</v>
      </c>
      <c r="H27" s="121"/>
      <c r="I27" s="122"/>
      <c r="J27" s="292"/>
      <c r="K27" s="193"/>
      <c r="L27" s="193"/>
      <c r="M27" s="193"/>
      <c r="N27" s="193"/>
      <c r="O27" s="193"/>
      <c r="P27" s="193"/>
      <c r="Q27" s="193"/>
      <c r="R27" s="55"/>
      <c r="S27" s="257"/>
      <c r="T27" s="257"/>
      <c r="U27" s="257"/>
      <c r="V27" s="55"/>
      <c r="W27" s="257"/>
      <c r="X27" s="257"/>
      <c r="Y27" s="257"/>
      <c r="Z27" s="257"/>
      <c r="AA27" s="257"/>
      <c r="AB27" s="266">
        <f>IF(ISNA(HLOOKUP(AG27,M1a,2,0)),0,HLOOKUP(AG27,M1a,2,0))</f>
        <v>9</v>
      </c>
      <c r="AC27" s="213">
        <f t="shared" si="9"/>
        <v>0</v>
      </c>
      <c r="AD27" s="213">
        <f>H27</f>
        <v>0</v>
      </c>
      <c r="AE27" s="240"/>
      <c r="AF27" s="214">
        <f>IF(ISNA(HLOOKUP(AB27,M1ax,7)),0,HLOOKUP(AB27,M1ax,6))</f>
        <v>1</v>
      </c>
      <c r="AG27" s="257">
        <f>IF($H27&gt;osztalyzat,10000*$H27+1000*$G27+100-$A27,10000*$H27+1000*(10-$G27)+100-$A27)</f>
        <v>10082</v>
      </c>
      <c r="AH27" s="257">
        <f aca="true" t="shared" si="15" ref="AH27:AU27">IF(AG27=AG$68,-1,AG27)</f>
        <v>10082</v>
      </c>
      <c r="AI27" s="257">
        <f t="shared" si="15"/>
        <v>10082</v>
      </c>
      <c r="AJ27" s="257">
        <f t="shared" si="15"/>
        <v>10082</v>
      </c>
      <c r="AK27" s="257">
        <f t="shared" si="15"/>
        <v>10082</v>
      </c>
      <c r="AL27" s="257">
        <f t="shared" si="15"/>
        <v>10082</v>
      </c>
      <c r="AM27" s="257">
        <f t="shared" si="15"/>
        <v>10082</v>
      </c>
      <c r="AN27" s="257">
        <f t="shared" si="15"/>
        <v>10082</v>
      </c>
      <c r="AO27" s="257">
        <f t="shared" si="15"/>
        <v>10082</v>
      </c>
      <c r="AP27" s="257">
        <f t="shared" si="15"/>
        <v>-1</v>
      </c>
      <c r="AQ27" s="257">
        <f t="shared" si="15"/>
        <v>-1</v>
      </c>
      <c r="AR27" s="257">
        <f t="shared" si="15"/>
        <v>-1</v>
      </c>
      <c r="AS27" s="257">
        <f t="shared" si="15"/>
        <v>-1</v>
      </c>
      <c r="AT27" s="257">
        <f t="shared" si="15"/>
        <v>-1</v>
      </c>
      <c r="AU27" s="257">
        <f t="shared" si="15"/>
        <v>-1</v>
      </c>
      <c r="AV27" s="56"/>
      <c r="AW27" s="55"/>
      <c r="AX27" s="256"/>
      <c r="AY27" s="256"/>
      <c r="AZ27" s="256"/>
      <c r="BA27" s="57"/>
      <c r="BB27" s="9"/>
      <c r="BC27" s="9"/>
      <c r="BD27" s="142">
        <f>IF(AND(AB27&gt;0,AB27&lt;13),G27,0)</f>
        <v>0</v>
      </c>
      <c r="BE27" s="143">
        <f>IF(AND(AB27&gt;0,AB27&lt;13),H27*F27,0)</f>
        <v>0</v>
      </c>
      <c r="BF27" s="143">
        <f>AF27*AC27</f>
        <v>0</v>
      </c>
      <c r="BG27" s="215">
        <f>IF(AND(G27&lt;&gt;BF27,BF27&gt;0),"x","")</f>
      </c>
      <c r="BH27" s="143">
        <f>BF27*H27</f>
        <v>0</v>
      </c>
      <c r="BI27" s="59"/>
    </row>
    <row r="28" spans="1:61" ht="14.25" customHeight="1">
      <c r="A28" s="50">
        <v>19</v>
      </c>
      <c r="B28" s="108">
        <v>3</v>
      </c>
      <c r="C28" s="35" t="s">
        <v>36</v>
      </c>
      <c r="D28" s="35"/>
      <c r="E28" s="26" t="s">
        <v>37</v>
      </c>
      <c r="F28" s="27">
        <v>2</v>
      </c>
      <c r="G28" s="28">
        <f t="shared" si="1"/>
        <v>0</v>
      </c>
      <c r="H28" s="115"/>
      <c r="I28" s="114"/>
      <c r="J28" s="282"/>
      <c r="K28" s="193"/>
      <c r="L28" s="193"/>
      <c r="M28" s="193"/>
      <c r="N28" s="193"/>
      <c r="O28" s="193"/>
      <c r="P28" s="193"/>
      <c r="Q28" s="193"/>
      <c r="R28" s="29"/>
      <c r="S28" s="257"/>
      <c r="T28" s="257"/>
      <c r="U28" s="257"/>
      <c r="V28" s="29"/>
      <c r="W28" s="257"/>
      <c r="X28" s="257"/>
      <c r="Y28" s="257"/>
      <c r="Z28" s="257"/>
      <c r="AA28" s="257"/>
      <c r="AB28" s="142">
        <f>IF(ISNA(HLOOKUP(AG28,M1a,2,0)),0,HLOOKUP(AG28,M1a,2,0))</f>
        <v>10</v>
      </c>
      <c r="AC28" s="213">
        <f t="shared" si="9"/>
        <v>0</v>
      </c>
      <c r="AD28" s="213">
        <f>H28</f>
        <v>0</v>
      </c>
      <c r="AE28" s="240"/>
      <c r="AF28" s="214">
        <f>IF(ISNA(HLOOKUP(AB28,M1ax,7)),0,HLOOKUP(AB28,M1ax,6))</f>
        <v>1</v>
      </c>
      <c r="AG28" s="257">
        <f>IF($H28&gt;osztalyzat,10000*$H28+1000*$G28+100-$A28,10000*$H28+1000*(10-$G28)+100-$A28)</f>
        <v>10081</v>
      </c>
      <c r="AH28" s="257">
        <f aca="true" t="shared" si="16" ref="AH28:AU28">IF(AG28=AG$68,-1,AG28)</f>
        <v>10081</v>
      </c>
      <c r="AI28" s="257">
        <f t="shared" si="16"/>
        <v>10081</v>
      </c>
      <c r="AJ28" s="257">
        <f t="shared" si="16"/>
        <v>10081</v>
      </c>
      <c r="AK28" s="257">
        <f t="shared" si="16"/>
        <v>10081</v>
      </c>
      <c r="AL28" s="257">
        <f t="shared" si="16"/>
        <v>10081</v>
      </c>
      <c r="AM28" s="257">
        <f t="shared" si="16"/>
        <v>10081</v>
      </c>
      <c r="AN28" s="257">
        <f t="shared" si="16"/>
        <v>10081</v>
      </c>
      <c r="AO28" s="257">
        <f t="shared" si="16"/>
        <v>10081</v>
      </c>
      <c r="AP28" s="257">
        <f t="shared" si="16"/>
        <v>10081</v>
      </c>
      <c r="AQ28" s="257">
        <f t="shared" si="16"/>
        <v>-1</v>
      </c>
      <c r="AR28" s="257">
        <f t="shared" si="16"/>
        <v>-1</v>
      </c>
      <c r="AS28" s="257">
        <f t="shared" si="16"/>
        <v>-1</v>
      </c>
      <c r="AT28" s="257">
        <f t="shared" si="16"/>
        <v>-1</v>
      </c>
      <c r="AU28" s="257">
        <f t="shared" si="16"/>
        <v>-1</v>
      </c>
      <c r="AV28" s="30"/>
      <c r="AW28" s="55"/>
      <c r="AX28" s="256"/>
      <c r="AY28" s="256"/>
      <c r="AZ28" s="256"/>
      <c r="BA28" s="31"/>
      <c r="BB28" s="32"/>
      <c r="BC28" s="32"/>
      <c r="BD28" s="142">
        <f>IF(AND(AB28&gt;0,AB28&lt;13),G28,0)</f>
        <v>0</v>
      </c>
      <c r="BE28" s="143">
        <f>IF(AND(AB28&gt;0,AB28&lt;13),H28*F28,0)</f>
        <v>0</v>
      </c>
      <c r="BF28" s="143">
        <f>AF28*AC28</f>
        <v>0</v>
      </c>
      <c r="BG28" s="215">
        <f>IF(AND(G28&lt;&gt;BF28,BF28&gt;0),"x","")</f>
      </c>
      <c r="BH28" s="143">
        <f>BF28*H28</f>
        <v>0</v>
      </c>
      <c r="BI28" s="34"/>
    </row>
    <row r="29" spans="1:61" ht="14.25" customHeight="1">
      <c r="A29" s="50">
        <v>20</v>
      </c>
      <c r="B29" s="109">
        <v>3</v>
      </c>
      <c r="C29" s="36" t="s">
        <v>38</v>
      </c>
      <c r="D29" s="36"/>
      <c r="E29" s="26" t="s">
        <v>39</v>
      </c>
      <c r="F29" s="27">
        <v>2</v>
      </c>
      <c r="G29" s="28">
        <f t="shared" si="1"/>
        <v>0</v>
      </c>
      <c r="H29" s="116"/>
      <c r="I29" s="114"/>
      <c r="J29" s="282"/>
      <c r="K29" s="193"/>
      <c r="L29" s="193"/>
      <c r="M29" s="193"/>
      <c r="N29" s="193"/>
      <c r="O29" s="193"/>
      <c r="P29" s="193"/>
      <c r="Q29" s="193"/>
      <c r="R29" s="29"/>
      <c r="S29" s="257"/>
      <c r="T29" s="257"/>
      <c r="U29" s="257"/>
      <c r="V29" s="29"/>
      <c r="W29" s="257"/>
      <c r="X29" s="257"/>
      <c r="Y29" s="257"/>
      <c r="Z29" s="257"/>
      <c r="AA29" s="257"/>
      <c r="AB29" s="142">
        <f>IF(ISNA(HLOOKUP(AG29,M1a,2,0)),0,HLOOKUP(AG29,M1a,2,0))</f>
        <v>11</v>
      </c>
      <c r="AC29" s="213">
        <f t="shared" si="9"/>
        <v>0</v>
      </c>
      <c r="AD29" s="213">
        <f>H29</f>
        <v>0</v>
      </c>
      <c r="AE29" s="240"/>
      <c r="AF29" s="214">
        <f>IF(ISNA(HLOOKUP(AB29,M1ax,7)),0,HLOOKUP(AB29,M1ax,6))</f>
        <v>1</v>
      </c>
      <c r="AG29" s="257">
        <f>IF($H29&gt;osztalyzat,10000*$H29+1000*$G29+100-$A29,10000*$H29+1000*(10-$G29)+100-$A29)</f>
        <v>10080</v>
      </c>
      <c r="AH29" s="257">
        <f aca="true" t="shared" si="17" ref="AH29:AU29">IF(AG29=AG$68,-1,AG29)</f>
        <v>10080</v>
      </c>
      <c r="AI29" s="257">
        <f t="shared" si="17"/>
        <v>10080</v>
      </c>
      <c r="AJ29" s="257">
        <f t="shared" si="17"/>
        <v>10080</v>
      </c>
      <c r="AK29" s="257">
        <f t="shared" si="17"/>
        <v>10080</v>
      </c>
      <c r="AL29" s="257">
        <f t="shared" si="17"/>
        <v>10080</v>
      </c>
      <c r="AM29" s="257">
        <f t="shared" si="17"/>
        <v>10080</v>
      </c>
      <c r="AN29" s="257">
        <f t="shared" si="17"/>
        <v>10080</v>
      </c>
      <c r="AO29" s="257">
        <f t="shared" si="17"/>
        <v>10080</v>
      </c>
      <c r="AP29" s="257">
        <f t="shared" si="17"/>
        <v>10080</v>
      </c>
      <c r="AQ29" s="257">
        <f t="shared" si="17"/>
        <v>10080</v>
      </c>
      <c r="AR29" s="257">
        <f t="shared" si="17"/>
        <v>-1</v>
      </c>
      <c r="AS29" s="257">
        <f t="shared" si="17"/>
        <v>-1</v>
      </c>
      <c r="AT29" s="257">
        <f t="shared" si="17"/>
        <v>-1</v>
      </c>
      <c r="AU29" s="257">
        <f t="shared" si="17"/>
        <v>-1</v>
      </c>
      <c r="AV29" s="30"/>
      <c r="AW29" s="55"/>
      <c r="AX29" s="256"/>
      <c r="AY29" s="256"/>
      <c r="AZ29" s="256"/>
      <c r="BA29" s="31"/>
      <c r="BB29" s="32"/>
      <c r="BC29" s="32"/>
      <c r="BD29" s="142">
        <f>IF(AND(AB29&gt;0,AB29&lt;13),G29,0)</f>
        <v>0</v>
      </c>
      <c r="BE29" s="143">
        <f>IF(AND(AB29&gt;0,AB29&lt;13),H29*F29,0)</f>
        <v>0</v>
      </c>
      <c r="BF29" s="143">
        <f>AF29*AC29</f>
        <v>0</v>
      </c>
      <c r="BG29" s="215">
        <f>IF(AND(G29&lt;&gt;BF29,BF29&gt;0),"x","")</f>
      </c>
      <c r="BH29" s="143">
        <f>BF29*H29</f>
        <v>0</v>
      </c>
      <c r="BI29" s="34"/>
    </row>
    <row r="30" spans="1:61" ht="14.25" customHeight="1">
      <c r="A30" s="50">
        <v>21</v>
      </c>
      <c r="B30" s="109">
        <v>3</v>
      </c>
      <c r="C30" s="36" t="s">
        <v>40</v>
      </c>
      <c r="D30" s="36"/>
      <c r="E30" s="26" t="s">
        <v>41</v>
      </c>
      <c r="F30" s="27">
        <v>4</v>
      </c>
      <c r="G30" s="28">
        <f t="shared" si="1"/>
        <v>0</v>
      </c>
      <c r="H30" s="116"/>
      <c r="I30" s="114"/>
      <c r="J30" s="282"/>
      <c r="K30" s="193"/>
      <c r="L30" s="193"/>
      <c r="M30" s="193"/>
      <c r="N30" s="193"/>
      <c r="O30" s="193"/>
      <c r="P30" s="193"/>
      <c r="Q30" s="193"/>
      <c r="R30" s="29"/>
      <c r="S30" s="257"/>
      <c r="T30" s="257"/>
      <c r="U30" s="257"/>
      <c r="V30" s="29"/>
      <c r="W30" s="257"/>
      <c r="X30" s="257"/>
      <c r="Y30" s="257"/>
      <c r="Z30" s="257"/>
      <c r="AA30" s="257"/>
      <c r="AB30" s="142">
        <f>IF(ISNA(HLOOKUP(AG30,M1a,2,0)),0,HLOOKUP(AG30,M1a,2,0))</f>
        <v>12</v>
      </c>
      <c r="AC30" s="213">
        <f t="shared" si="9"/>
        <v>0</v>
      </c>
      <c r="AD30" s="213">
        <f>H30</f>
        <v>0</v>
      </c>
      <c r="AE30" s="240"/>
      <c r="AF30" s="214">
        <f>IF(ISNA(HLOOKUP(AB30,M1ax,7)),0,HLOOKUP(AB30,M1ax,6))</f>
        <v>1</v>
      </c>
      <c r="AG30" s="257">
        <f>IF($H30&gt;osztalyzat,10000*$H30+1000*$G30+100-$A30,10000*$H30+1000*(10-$G30)+100-$A30)</f>
        <v>10079</v>
      </c>
      <c r="AH30" s="257">
        <f aca="true" t="shared" si="18" ref="AH30:AU30">IF(AG30=AG$68,-1,AG30)</f>
        <v>10079</v>
      </c>
      <c r="AI30" s="257">
        <f t="shared" si="18"/>
        <v>10079</v>
      </c>
      <c r="AJ30" s="257">
        <f t="shared" si="18"/>
        <v>10079</v>
      </c>
      <c r="AK30" s="257">
        <f t="shared" si="18"/>
        <v>10079</v>
      </c>
      <c r="AL30" s="257">
        <f t="shared" si="18"/>
        <v>10079</v>
      </c>
      <c r="AM30" s="257">
        <f t="shared" si="18"/>
        <v>10079</v>
      </c>
      <c r="AN30" s="257">
        <f t="shared" si="18"/>
        <v>10079</v>
      </c>
      <c r="AO30" s="257">
        <f t="shared" si="18"/>
        <v>10079</v>
      </c>
      <c r="AP30" s="257">
        <f t="shared" si="18"/>
        <v>10079</v>
      </c>
      <c r="AQ30" s="257">
        <f t="shared" si="18"/>
        <v>10079</v>
      </c>
      <c r="AR30" s="257">
        <f t="shared" si="18"/>
        <v>10079</v>
      </c>
      <c r="AS30" s="257">
        <f t="shared" si="18"/>
        <v>-1</v>
      </c>
      <c r="AT30" s="257">
        <f t="shared" si="18"/>
        <v>-1</v>
      </c>
      <c r="AU30" s="257">
        <f t="shared" si="18"/>
        <v>-1</v>
      </c>
      <c r="AV30" s="30"/>
      <c r="AW30" s="55"/>
      <c r="AX30" s="256"/>
      <c r="AY30" s="256"/>
      <c r="AZ30" s="256"/>
      <c r="BA30" s="31"/>
      <c r="BB30" s="32"/>
      <c r="BC30" s="32"/>
      <c r="BD30" s="142">
        <f>IF(AND(AB30&gt;0,AB30&lt;13),G30,0)</f>
        <v>0</v>
      </c>
      <c r="BE30" s="143">
        <f>IF(AND(AB30&gt;0,AB30&lt;13),H30*F30,0)</f>
        <v>0</v>
      </c>
      <c r="BF30" s="143">
        <f>AF30*AC30</f>
        <v>0</v>
      </c>
      <c r="BG30" s="215">
        <f>IF(AND(G30&lt;&gt;BF30,BF30&gt;0),"x","")</f>
      </c>
      <c r="BH30" s="143">
        <f>BF30*H30</f>
        <v>0</v>
      </c>
      <c r="BI30" s="34"/>
    </row>
    <row r="31" spans="1:61" ht="14.25" customHeight="1">
      <c r="A31" s="50">
        <v>22</v>
      </c>
      <c r="B31" s="109">
        <v>3</v>
      </c>
      <c r="C31" s="36" t="s">
        <v>42</v>
      </c>
      <c r="D31" s="36"/>
      <c r="E31" s="26" t="s">
        <v>43</v>
      </c>
      <c r="F31" s="27">
        <v>4</v>
      </c>
      <c r="G31" s="28">
        <f t="shared" si="1"/>
        <v>0</v>
      </c>
      <c r="H31" s="116"/>
      <c r="I31" s="114"/>
      <c r="J31" s="282"/>
      <c r="K31" s="193"/>
      <c r="L31" s="193"/>
      <c r="M31" s="193"/>
      <c r="N31" s="193"/>
      <c r="O31" s="193"/>
      <c r="P31" s="193"/>
      <c r="Q31" s="193"/>
      <c r="R31" s="29"/>
      <c r="S31" s="257"/>
      <c r="T31" s="257"/>
      <c r="U31" s="257"/>
      <c r="V31" s="29"/>
      <c r="W31" s="257"/>
      <c r="X31" s="257"/>
      <c r="Y31" s="257"/>
      <c r="Z31" s="257"/>
      <c r="AA31" s="257"/>
      <c r="AB31" s="142">
        <f>IF(ISNA(HLOOKUP(AG31,M1a,2,0)),0,HLOOKUP(AG31,M1a,2,0))</f>
        <v>13</v>
      </c>
      <c r="AC31" s="213">
        <f t="shared" si="9"/>
        <v>0</v>
      </c>
      <c r="AD31" s="213">
        <f>H31</f>
        <v>0</v>
      </c>
      <c r="AE31" s="240"/>
      <c r="AF31" s="214">
        <f>IF(ISNA(HLOOKUP(AB31,M1ax,7)),0,HLOOKUP(AB31,M1ax,6))</f>
        <v>1</v>
      </c>
      <c r="AG31" s="257">
        <f>IF($H31&gt;osztalyzat,10000*$H31+1000*$G31+100-$A31,10000*$H31+1000*(10-$G31)+100-$A31)</f>
        <v>10078</v>
      </c>
      <c r="AH31" s="257">
        <f aca="true" t="shared" si="19" ref="AH31:AU31">IF(AG31=AG$68,-1,AG31)</f>
        <v>10078</v>
      </c>
      <c r="AI31" s="257">
        <f t="shared" si="19"/>
        <v>10078</v>
      </c>
      <c r="AJ31" s="257">
        <f t="shared" si="19"/>
        <v>10078</v>
      </c>
      <c r="AK31" s="257">
        <f t="shared" si="19"/>
        <v>10078</v>
      </c>
      <c r="AL31" s="257">
        <f t="shared" si="19"/>
        <v>10078</v>
      </c>
      <c r="AM31" s="257">
        <f t="shared" si="19"/>
        <v>10078</v>
      </c>
      <c r="AN31" s="257">
        <f t="shared" si="19"/>
        <v>10078</v>
      </c>
      <c r="AO31" s="257">
        <f t="shared" si="19"/>
        <v>10078</v>
      </c>
      <c r="AP31" s="257">
        <f t="shared" si="19"/>
        <v>10078</v>
      </c>
      <c r="AQ31" s="257">
        <f t="shared" si="19"/>
        <v>10078</v>
      </c>
      <c r="AR31" s="257">
        <f t="shared" si="19"/>
        <v>10078</v>
      </c>
      <c r="AS31" s="257">
        <f t="shared" si="19"/>
        <v>10078</v>
      </c>
      <c r="AT31" s="257">
        <f t="shared" si="19"/>
        <v>-1</v>
      </c>
      <c r="AU31" s="257">
        <f t="shared" si="19"/>
        <v>-1</v>
      </c>
      <c r="AV31" s="30"/>
      <c r="AW31" s="55"/>
      <c r="AX31" s="256"/>
      <c r="AY31" s="256"/>
      <c r="AZ31" s="256"/>
      <c r="BA31" s="31"/>
      <c r="BB31" s="32"/>
      <c r="BC31" s="32"/>
      <c r="BD31" s="142">
        <f>IF(AND(AB31&gt;0,AB31&lt;13),G31,0)</f>
        <v>0</v>
      </c>
      <c r="BE31" s="143">
        <f>IF(AND(AB31&gt;0,AB31&lt;13),H31*F31,0)</f>
        <v>0</v>
      </c>
      <c r="BF31" s="143">
        <f>AF31*AC31</f>
        <v>0</v>
      </c>
      <c r="BG31" s="215">
        <f>IF(AND(G31&lt;&gt;BF31,BF31&gt;0),"x","")</f>
      </c>
      <c r="BH31" s="143">
        <f>BF31*H31</f>
        <v>0</v>
      </c>
      <c r="BI31" s="34"/>
    </row>
    <row r="32" spans="1:61" ht="14.25" customHeight="1">
      <c r="A32" s="50">
        <v>23</v>
      </c>
      <c r="B32" s="110">
        <v>3</v>
      </c>
      <c r="C32" s="38" t="s">
        <v>44</v>
      </c>
      <c r="D32" s="38"/>
      <c r="E32" s="26" t="s">
        <v>45</v>
      </c>
      <c r="F32" s="27">
        <v>3</v>
      </c>
      <c r="G32" s="28">
        <f t="shared" si="1"/>
        <v>0</v>
      </c>
      <c r="H32" s="117"/>
      <c r="I32" s="114"/>
      <c r="J32" s="142">
        <f>IF(ISNA(HLOOKUP(K32,T1a,2,0)),0,HLOOKUP(K32,T1a,2,0))</f>
        <v>5</v>
      </c>
      <c r="K32" s="193">
        <f>10000*$H32+1000*$G32+100-$A32</f>
        <v>77</v>
      </c>
      <c r="L32" s="193">
        <f aca="true" t="shared" si="20" ref="L32:Q32">IF(K32=K$68,-1,K32)</f>
        <v>77</v>
      </c>
      <c r="M32" s="193">
        <f t="shared" si="20"/>
        <v>77</v>
      </c>
      <c r="N32" s="193">
        <f t="shared" si="20"/>
        <v>77</v>
      </c>
      <c r="O32" s="193">
        <f t="shared" si="20"/>
        <v>77</v>
      </c>
      <c r="P32" s="193">
        <f t="shared" si="20"/>
        <v>-1</v>
      </c>
      <c r="Q32" s="193">
        <f t="shared" si="20"/>
        <v>-1</v>
      </c>
      <c r="R32" s="29"/>
      <c r="S32" s="257"/>
      <c r="T32" s="257"/>
      <c r="U32" s="257"/>
      <c r="V32" s="29"/>
      <c r="W32" s="257"/>
      <c r="X32" s="257"/>
      <c r="Y32" s="257"/>
      <c r="Z32" s="257"/>
      <c r="AA32" s="257"/>
      <c r="AB32" s="260"/>
      <c r="AC32" s="192">
        <f t="shared" si="9"/>
        <v>0</v>
      </c>
      <c r="AD32" s="240"/>
      <c r="AE32" s="240"/>
      <c r="AF32" s="206"/>
      <c r="AG32" s="257"/>
      <c r="AH32" s="257">
        <f aca="true" t="shared" si="21" ref="AH32:AQ32">IF(AG32=AG$68,-1,AG32)</f>
        <v>0</v>
      </c>
      <c r="AI32" s="257">
        <f t="shared" si="21"/>
        <v>0</v>
      </c>
      <c r="AJ32" s="257">
        <f t="shared" si="21"/>
        <v>0</v>
      </c>
      <c r="AK32" s="257">
        <f t="shared" si="21"/>
        <v>0</v>
      </c>
      <c r="AL32" s="257">
        <f t="shared" si="21"/>
        <v>0</v>
      </c>
      <c r="AM32" s="257">
        <f t="shared" si="21"/>
        <v>0</v>
      </c>
      <c r="AN32" s="257">
        <f t="shared" si="21"/>
        <v>0</v>
      </c>
      <c r="AO32" s="257">
        <f t="shared" si="21"/>
        <v>0</v>
      </c>
      <c r="AP32" s="257">
        <f t="shared" si="21"/>
        <v>0</v>
      </c>
      <c r="AQ32" s="257">
        <f t="shared" si="21"/>
        <v>0</v>
      </c>
      <c r="AR32" s="257"/>
      <c r="AS32" s="257"/>
      <c r="AT32" s="257"/>
      <c r="AU32" s="257">
        <f>IF(AQ32=AQ$68,-1,AQ32)</f>
        <v>0</v>
      </c>
      <c r="AV32" s="30"/>
      <c r="AW32" s="55"/>
      <c r="AX32" s="256"/>
      <c r="AY32" s="256"/>
      <c r="AZ32" s="256"/>
      <c r="BA32" s="143">
        <f>IF(J32&gt;0,H32,0)</f>
        <v>0</v>
      </c>
      <c r="BB32" s="32"/>
      <c r="BC32" s="32"/>
      <c r="BD32" s="31"/>
      <c r="BE32" s="32"/>
      <c r="BF32" s="32"/>
      <c r="BG32" s="32"/>
      <c r="BH32" s="33">
        <f>IF(AB32&gt;0,IF(AB32&lt;9,H32*F32,""),"")</f>
      </c>
      <c r="BI32" s="34"/>
    </row>
    <row r="33" spans="1:61" ht="14.25" customHeight="1">
      <c r="A33" s="50">
        <v>24</v>
      </c>
      <c r="B33" s="110">
        <v>3</v>
      </c>
      <c r="C33" s="38" t="s">
        <v>46</v>
      </c>
      <c r="D33" s="38"/>
      <c r="E33" s="26" t="s">
        <v>47</v>
      </c>
      <c r="F33" s="27">
        <v>4</v>
      </c>
      <c r="G33" s="28">
        <f t="shared" si="1"/>
        <v>0</v>
      </c>
      <c r="H33" s="117"/>
      <c r="I33" s="114"/>
      <c r="J33" s="282"/>
      <c r="K33" s="193"/>
      <c r="L33" s="193"/>
      <c r="M33" s="193"/>
      <c r="N33" s="193"/>
      <c r="O33" s="193"/>
      <c r="P33" s="193"/>
      <c r="Q33" s="193"/>
      <c r="R33" s="129"/>
      <c r="S33" s="257"/>
      <c r="T33" s="257"/>
      <c r="U33" s="257"/>
      <c r="V33" s="143">
        <f>IF(ISNA(HLOOKUP(W33,ARa,2,0)),0,HLOOKUP(W33,ARa,2,0))</f>
        <v>5</v>
      </c>
      <c r="W33" s="257">
        <f>10000*$H33+1000*$G33+100-$A33</f>
        <v>76</v>
      </c>
      <c r="X33" s="257">
        <f>IF(W33=W$68,-1,W33)</f>
        <v>76</v>
      </c>
      <c r="Y33" s="257">
        <f>IF(X33=X$68,-1,X33)</f>
        <v>76</v>
      </c>
      <c r="Z33" s="257">
        <f>IF(Y33=Y$68,-1,Y33)</f>
        <v>76</v>
      </c>
      <c r="AA33" s="257">
        <f>IF(Z33=Z$68,-1,Z33)</f>
        <v>76</v>
      </c>
      <c r="AB33" s="260"/>
      <c r="AC33" s="192">
        <f t="shared" si="9"/>
        <v>0</v>
      </c>
      <c r="AD33" s="240"/>
      <c r="AE33" s="240"/>
      <c r="AF33" s="206"/>
      <c r="AG33" s="257"/>
      <c r="AH33" s="193">
        <f aca="true" t="shared" si="22" ref="AH33:AQ33">IF(AG33=AG$68,-1,AG33)</f>
        <v>0</v>
      </c>
      <c r="AI33" s="193">
        <f t="shared" si="22"/>
        <v>0</v>
      </c>
      <c r="AJ33" s="193">
        <f t="shared" si="22"/>
        <v>0</v>
      </c>
      <c r="AK33" s="193">
        <f t="shared" si="22"/>
        <v>0</v>
      </c>
      <c r="AL33" s="193">
        <f t="shared" si="22"/>
        <v>0</v>
      </c>
      <c r="AM33" s="193">
        <f t="shared" si="22"/>
        <v>0</v>
      </c>
      <c r="AN33" s="193">
        <f t="shared" si="22"/>
        <v>0</v>
      </c>
      <c r="AO33" s="193">
        <f t="shared" si="22"/>
        <v>0</v>
      </c>
      <c r="AP33" s="193">
        <f t="shared" si="22"/>
        <v>0</v>
      </c>
      <c r="AQ33" s="193">
        <f t="shared" si="22"/>
        <v>0</v>
      </c>
      <c r="AR33" s="193"/>
      <c r="AS33" s="193"/>
      <c r="AT33" s="193"/>
      <c r="AU33" s="193">
        <f>IF(AQ33=AQ$68,-1,AQ33)</f>
        <v>0</v>
      </c>
      <c r="AV33" s="30"/>
      <c r="AW33" s="55"/>
      <c r="AX33" s="256"/>
      <c r="AY33" s="256"/>
      <c r="AZ33" s="256"/>
      <c r="BA33" s="31"/>
      <c r="BB33" s="32"/>
      <c r="BC33" s="143">
        <f>IF(V33&gt;0,H33,0)</f>
        <v>0</v>
      </c>
      <c r="BD33" s="31"/>
      <c r="BE33" s="32"/>
      <c r="BF33" s="32"/>
      <c r="BG33" s="32"/>
      <c r="BH33" s="33">
        <f>IF(AB33&gt;0,IF(AB33&lt;9,H33*F33,""),"")</f>
      </c>
      <c r="BI33" s="34"/>
    </row>
    <row r="34" spans="1:61" ht="14.25" customHeight="1">
      <c r="A34" s="50">
        <v>25</v>
      </c>
      <c r="B34" s="111">
        <v>3</v>
      </c>
      <c r="C34" s="39" t="s">
        <v>48</v>
      </c>
      <c r="D34" s="39"/>
      <c r="E34" s="26" t="s">
        <v>49</v>
      </c>
      <c r="F34" s="27">
        <v>2</v>
      </c>
      <c r="G34" s="28">
        <f t="shared" si="1"/>
        <v>0</v>
      </c>
      <c r="H34" s="118"/>
      <c r="I34" s="114"/>
      <c r="J34" s="142">
        <f>IF(ISNA(HLOOKUP(K34,T1a,2,0)),0,HLOOKUP(K34,T1a,2,0))</f>
        <v>6</v>
      </c>
      <c r="K34" s="193">
        <f>10000*$H34+1000*$G34+100-$A34</f>
        <v>75</v>
      </c>
      <c r="L34" s="193">
        <f aca="true" t="shared" si="23" ref="L34:Q34">IF(K34=K$68,-1,K34)</f>
        <v>75</v>
      </c>
      <c r="M34" s="193">
        <f t="shared" si="23"/>
        <v>75</v>
      </c>
      <c r="N34" s="193">
        <f t="shared" si="23"/>
        <v>75</v>
      </c>
      <c r="O34" s="193">
        <f t="shared" si="23"/>
        <v>75</v>
      </c>
      <c r="P34" s="193">
        <f t="shared" si="23"/>
        <v>75</v>
      </c>
      <c r="Q34" s="193">
        <f t="shared" si="23"/>
        <v>-1</v>
      </c>
      <c r="R34" s="29"/>
      <c r="S34" s="257"/>
      <c r="T34" s="257"/>
      <c r="U34" s="257"/>
      <c r="V34" s="37"/>
      <c r="W34" s="257"/>
      <c r="X34" s="257"/>
      <c r="Y34" s="257"/>
      <c r="Z34" s="257"/>
      <c r="AA34" s="257"/>
      <c r="AB34" s="260"/>
      <c r="AC34" s="192">
        <f t="shared" si="9"/>
        <v>0</v>
      </c>
      <c r="AD34" s="240"/>
      <c r="AE34" s="240"/>
      <c r="AF34" s="206"/>
      <c r="AG34" s="257"/>
      <c r="AH34" s="193">
        <f aca="true" t="shared" si="24" ref="AH34:AQ34">IF(AG34=AG$68,-1,AG34)</f>
        <v>0</v>
      </c>
      <c r="AI34" s="193">
        <f t="shared" si="24"/>
        <v>0</v>
      </c>
      <c r="AJ34" s="193">
        <f t="shared" si="24"/>
        <v>0</v>
      </c>
      <c r="AK34" s="193">
        <f t="shared" si="24"/>
        <v>0</v>
      </c>
      <c r="AL34" s="193">
        <f t="shared" si="24"/>
        <v>0</v>
      </c>
      <c r="AM34" s="193">
        <f t="shared" si="24"/>
        <v>0</v>
      </c>
      <c r="AN34" s="193">
        <f t="shared" si="24"/>
        <v>0</v>
      </c>
      <c r="AO34" s="193">
        <f t="shared" si="24"/>
        <v>0</v>
      </c>
      <c r="AP34" s="193">
        <f t="shared" si="24"/>
        <v>0</v>
      </c>
      <c r="AQ34" s="193">
        <f t="shared" si="24"/>
        <v>0</v>
      </c>
      <c r="AR34" s="193"/>
      <c r="AS34" s="193"/>
      <c r="AT34" s="193"/>
      <c r="AU34" s="193">
        <f>IF(AQ34=AQ$68,-1,AQ34)</f>
        <v>0</v>
      </c>
      <c r="AV34" s="30"/>
      <c r="AW34" s="55"/>
      <c r="AX34" s="256"/>
      <c r="AY34" s="256"/>
      <c r="AZ34" s="256"/>
      <c r="BA34" s="143">
        <f>IF(J34&gt;0,H34,0)</f>
        <v>0</v>
      </c>
      <c r="BB34" s="32"/>
      <c r="BC34" s="32"/>
      <c r="BD34" s="31"/>
      <c r="BE34" s="32"/>
      <c r="BF34" s="32"/>
      <c r="BG34" s="32"/>
      <c r="BH34" s="33">
        <f>IF(AB34&gt;0,IF(AB34&lt;9,H34*F34,""),"")</f>
      </c>
      <c r="BI34" s="34"/>
    </row>
    <row r="35" spans="1:61" ht="14.25" customHeight="1" thickBot="1">
      <c r="A35" s="50">
        <v>26</v>
      </c>
      <c r="B35" s="131">
        <v>3</v>
      </c>
      <c r="C35" s="40" t="s">
        <v>50</v>
      </c>
      <c r="D35" s="40"/>
      <c r="E35" s="41" t="s">
        <v>51</v>
      </c>
      <c r="F35" s="42">
        <v>6</v>
      </c>
      <c r="G35" s="43">
        <f t="shared" si="1"/>
        <v>0</v>
      </c>
      <c r="H35" s="119"/>
      <c r="I35" s="120"/>
      <c r="J35" s="284"/>
      <c r="K35" s="193"/>
      <c r="L35" s="193"/>
      <c r="M35" s="193"/>
      <c r="N35" s="193"/>
      <c r="O35" s="193"/>
      <c r="P35" s="193"/>
      <c r="Q35" s="193"/>
      <c r="R35" s="145">
        <f>IF(ISNA(HLOOKUP(S35,T2a,2,0)),0,HLOOKUP(S35,T2a,2,0))</f>
        <v>3</v>
      </c>
      <c r="S35" s="257">
        <f>10000*$H35+1000*$G35+100-$A35</f>
        <v>74</v>
      </c>
      <c r="T35" s="257">
        <f>IF(S35=S$68,-1,S35)</f>
        <v>74</v>
      </c>
      <c r="U35" s="257">
        <f>IF(T35=T$68,-1,T35)</f>
        <v>74</v>
      </c>
      <c r="V35" s="44"/>
      <c r="W35" s="257"/>
      <c r="X35" s="257"/>
      <c r="Y35" s="257"/>
      <c r="Z35" s="257"/>
      <c r="AA35" s="257"/>
      <c r="AB35" s="262"/>
      <c r="AC35" s="192">
        <f t="shared" si="9"/>
        <v>0</v>
      </c>
      <c r="AD35" s="240"/>
      <c r="AE35" s="240"/>
      <c r="AF35" s="206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45"/>
      <c r="AW35" s="55"/>
      <c r="AX35" s="256"/>
      <c r="AY35" s="256"/>
      <c r="AZ35" s="256"/>
      <c r="BA35" s="46"/>
      <c r="BB35" s="144">
        <f>IF(R35&gt;0,H35,0)</f>
        <v>0</v>
      </c>
      <c r="BC35" s="48"/>
      <c r="BD35" s="267"/>
      <c r="BE35" s="47"/>
      <c r="BF35" s="47"/>
      <c r="BG35" s="47"/>
      <c r="BH35" s="49">
        <f>IF(AB35&gt;0,IF(AB35&lt;9,H35*F35,""),"")</f>
      </c>
      <c r="BI35" s="49"/>
    </row>
    <row r="36" spans="1:61" ht="14.25" customHeight="1">
      <c r="A36" s="50">
        <v>27</v>
      </c>
      <c r="B36" s="130">
        <v>4</v>
      </c>
      <c r="C36" s="51" t="s">
        <v>214</v>
      </c>
      <c r="D36" s="51"/>
      <c r="E36" s="52" t="s">
        <v>52</v>
      </c>
      <c r="F36" s="53">
        <v>2</v>
      </c>
      <c r="G36" s="54">
        <f t="shared" si="1"/>
        <v>0</v>
      </c>
      <c r="H36" s="121"/>
      <c r="I36" s="122"/>
      <c r="J36" s="292"/>
      <c r="K36" s="193"/>
      <c r="L36" s="193"/>
      <c r="M36" s="193"/>
      <c r="N36" s="193"/>
      <c r="O36" s="193"/>
      <c r="P36" s="193"/>
      <c r="Q36" s="193"/>
      <c r="R36" s="55"/>
      <c r="S36" s="257"/>
      <c r="T36" s="257"/>
      <c r="U36" s="257"/>
      <c r="V36" s="55"/>
      <c r="W36" s="257"/>
      <c r="X36" s="257"/>
      <c r="Y36" s="257"/>
      <c r="Z36" s="257"/>
      <c r="AA36" s="257"/>
      <c r="AB36" s="263"/>
      <c r="AC36" s="192">
        <f t="shared" si="9"/>
        <v>0</v>
      </c>
      <c r="AD36" s="240"/>
      <c r="AE36" s="240"/>
      <c r="AF36" s="206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56"/>
      <c r="AW36" s="55"/>
      <c r="AX36" s="256"/>
      <c r="AY36" s="256"/>
      <c r="AZ36" s="256"/>
      <c r="BA36" s="57"/>
      <c r="BB36" s="9"/>
      <c r="BC36" s="9"/>
      <c r="BD36" s="57"/>
      <c r="BE36" s="9"/>
      <c r="BF36" s="9"/>
      <c r="BG36" s="9"/>
      <c r="BH36" s="58">
        <f>IF(AB36&gt;0,IF(AB36&lt;9,H36*F36,""),"")</f>
      </c>
      <c r="BI36" s="59"/>
    </row>
    <row r="37" spans="1:61" ht="14.25" customHeight="1">
      <c r="A37" s="50">
        <v>28</v>
      </c>
      <c r="B37" s="108">
        <v>4</v>
      </c>
      <c r="C37" s="35" t="s">
        <v>53</v>
      </c>
      <c r="D37" s="35"/>
      <c r="E37" s="26" t="s">
        <v>54</v>
      </c>
      <c r="F37" s="27">
        <v>3</v>
      </c>
      <c r="G37" s="28">
        <f t="shared" si="1"/>
        <v>0</v>
      </c>
      <c r="H37" s="115"/>
      <c r="I37" s="114"/>
      <c r="J37" s="282"/>
      <c r="K37" s="193"/>
      <c r="L37" s="193"/>
      <c r="M37" s="193"/>
      <c r="N37" s="193"/>
      <c r="O37" s="193"/>
      <c r="P37" s="193"/>
      <c r="Q37" s="193"/>
      <c r="R37" s="29"/>
      <c r="S37" s="257"/>
      <c r="T37" s="257"/>
      <c r="U37" s="257"/>
      <c r="V37" s="29"/>
      <c r="W37" s="257"/>
      <c r="X37" s="257"/>
      <c r="Y37" s="257"/>
      <c r="Z37" s="257"/>
      <c r="AA37" s="257"/>
      <c r="AB37" s="142">
        <f>IF(ISNA(HLOOKUP(AG37,M1a,2,0)),0,HLOOKUP(AG37,M1a,2,0))</f>
        <v>14</v>
      </c>
      <c r="AC37" s="213">
        <f t="shared" si="9"/>
        <v>0</v>
      </c>
      <c r="AD37" s="213">
        <f>H37</f>
        <v>0</v>
      </c>
      <c r="AE37" s="240"/>
      <c r="AF37" s="214">
        <f>IF(ISNA(HLOOKUP(AB37,M1ax,7)),0,HLOOKUP(AB37,M1ax,6))</f>
        <v>1</v>
      </c>
      <c r="AG37" s="257">
        <f>IF($H37&gt;osztalyzat,10000*$H37+1000*$G37+100-$A37,10000*$H37+1000*(10-$G37)+100-$A37)</f>
        <v>10072</v>
      </c>
      <c r="AH37" s="257">
        <f aca="true" t="shared" si="25" ref="AH37:AQ37">IF(AG37=AG$68,-1,AG37)</f>
        <v>10072</v>
      </c>
      <c r="AI37" s="257">
        <f t="shared" si="25"/>
        <v>10072</v>
      </c>
      <c r="AJ37" s="257">
        <f t="shared" si="25"/>
        <v>10072</v>
      </c>
      <c r="AK37" s="257">
        <f t="shared" si="25"/>
        <v>10072</v>
      </c>
      <c r="AL37" s="257">
        <f t="shared" si="25"/>
        <v>10072</v>
      </c>
      <c r="AM37" s="257">
        <f t="shared" si="25"/>
        <v>10072</v>
      </c>
      <c r="AN37" s="257">
        <f t="shared" si="25"/>
        <v>10072</v>
      </c>
      <c r="AO37" s="257">
        <f t="shared" si="25"/>
        <v>10072</v>
      </c>
      <c r="AP37" s="257">
        <f t="shared" si="25"/>
        <v>10072</v>
      </c>
      <c r="AQ37" s="257">
        <f t="shared" si="25"/>
        <v>10072</v>
      </c>
      <c r="AR37" s="257">
        <f aca="true" t="shared" si="26" ref="AR37:AU39">IF(AQ37=AQ$68,-1,AQ37)</f>
        <v>10072</v>
      </c>
      <c r="AS37" s="257">
        <f t="shared" si="26"/>
        <v>10072</v>
      </c>
      <c r="AT37" s="257">
        <f t="shared" si="26"/>
        <v>10072</v>
      </c>
      <c r="AU37" s="257">
        <f t="shared" si="26"/>
        <v>-1</v>
      </c>
      <c r="AV37" s="30"/>
      <c r="AW37" s="55"/>
      <c r="AX37" s="256"/>
      <c r="AY37" s="256"/>
      <c r="AZ37" s="256"/>
      <c r="BA37" s="31"/>
      <c r="BB37" s="32"/>
      <c r="BC37" s="32"/>
      <c r="BD37" s="142">
        <f>IF(AND(AB37&gt;0,AB37&lt;13),G37,0)</f>
        <v>0</v>
      </c>
      <c r="BE37" s="143">
        <f>IF(AND(AB37&gt;0,AB37&lt;13),H37*F37,0)</f>
        <v>0</v>
      </c>
      <c r="BF37" s="143">
        <f>AF37*AC37</f>
        <v>0</v>
      </c>
      <c r="BG37" s="215">
        <f>IF(AND(G37&lt;&gt;BF37,BF37&gt;0),"x","")</f>
      </c>
      <c r="BH37" s="143">
        <f>BF37*H37</f>
        <v>0</v>
      </c>
      <c r="BI37" s="34"/>
    </row>
    <row r="38" spans="1:61" ht="14.25" customHeight="1">
      <c r="A38" s="50">
        <v>29</v>
      </c>
      <c r="B38" s="109">
        <v>4</v>
      </c>
      <c r="C38" s="36" t="s">
        <v>55</v>
      </c>
      <c r="D38" s="36"/>
      <c r="E38" s="26" t="s">
        <v>56</v>
      </c>
      <c r="F38" s="27">
        <v>4</v>
      </c>
      <c r="G38" s="28">
        <f t="shared" si="1"/>
        <v>0</v>
      </c>
      <c r="H38" s="116"/>
      <c r="I38" s="114"/>
      <c r="J38" s="282"/>
      <c r="K38" s="193"/>
      <c r="L38" s="193"/>
      <c r="M38" s="193"/>
      <c r="N38" s="193"/>
      <c r="O38" s="193"/>
      <c r="P38" s="193"/>
      <c r="Q38" s="193"/>
      <c r="R38" s="29"/>
      <c r="S38" s="257"/>
      <c r="T38" s="257"/>
      <c r="U38" s="257"/>
      <c r="V38" s="29"/>
      <c r="W38" s="257"/>
      <c r="X38" s="257"/>
      <c r="Y38" s="257"/>
      <c r="Z38" s="257"/>
      <c r="AA38" s="257"/>
      <c r="AB38" s="142">
        <f>IF(ISNA(HLOOKUP(AG38,M1a,2,0)),0,HLOOKUP(AG38,M1a,2,0))</f>
        <v>15</v>
      </c>
      <c r="AC38" s="213">
        <f t="shared" si="9"/>
        <v>0</v>
      </c>
      <c r="AD38" s="213">
        <f>H38</f>
        <v>0</v>
      </c>
      <c r="AE38" s="240"/>
      <c r="AF38" s="214">
        <f>IF(ISNA(HLOOKUP(AB38,M1ax,7)),0,HLOOKUP(AB38,M1ax,6))</f>
        <v>1</v>
      </c>
      <c r="AG38" s="257">
        <f>IF($H38&gt;osztalyzat,10000*$H38+1000*$G38+100-$A38,10000*$H38+1000*(10-$G38)+100-$A38)</f>
        <v>10071</v>
      </c>
      <c r="AH38" s="257">
        <f aca="true" t="shared" si="27" ref="AH38:AQ38">IF(AG38=AG$68,-1,AG38)</f>
        <v>10071</v>
      </c>
      <c r="AI38" s="257">
        <f t="shared" si="27"/>
        <v>10071</v>
      </c>
      <c r="AJ38" s="257">
        <f t="shared" si="27"/>
        <v>10071</v>
      </c>
      <c r="AK38" s="257">
        <f t="shared" si="27"/>
        <v>10071</v>
      </c>
      <c r="AL38" s="257">
        <f t="shared" si="27"/>
        <v>10071</v>
      </c>
      <c r="AM38" s="257">
        <f t="shared" si="27"/>
        <v>10071</v>
      </c>
      <c r="AN38" s="257">
        <f t="shared" si="27"/>
        <v>10071</v>
      </c>
      <c r="AO38" s="257">
        <f t="shared" si="27"/>
        <v>10071</v>
      </c>
      <c r="AP38" s="257">
        <f t="shared" si="27"/>
        <v>10071</v>
      </c>
      <c r="AQ38" s="257">
        <f t="shared" si="27"/>
        <v>10071</v>
      </c>
      <c r="AR38" s="257">
        <f t="shared" si="26"/>
        <v>10071</v>
      </c>
      <c r="AS38" s="257">
        <f t="shared" si="26"/>
        <v>10071</v>
      </c>
      <c r="AT38" s="257">
        <f t="shared" si="26"/>
        <v>10071</v>
      </c>
      <c r="AU38" s="257">
        <f t="shared" si="26"/>
        <v>10071</v>
      </c>
      <c r="AV38" s="30"/>
      <c r="AW38" s="55"/>
      <c r="AX38" s="256"/>
      <c r="AY38" s="256"/>
      <c r="AZ38" s="256"/>
      <c r="BA38" s="31"/>
      <c r="BB38" s="32"/>
      <c r="BC38" s="32"/>
      <c r="BD38" s="142">
        <f>IF(AND(AB38&gt;0,AB38&lt;13),G38,0)</f>
        <v>0</v>
      </c>
      <c r="BE38" s="143">
        <f>IF(AND(AB38&gt;0,AB38&lt;13),H38*F38,0)</f>
        <v>0</v>
      </c>
      <c r="BF38" s="143">
        <f>AF38*AC38</f>
        <v>0</v>
      </c>
      <c r="BG38" s="215">
        <f>IF(AND(G38&lt;&gt;BF38,BF38&gt;0),"x","")</f>
      </c>
      <c r="BH38" s="143">
        <f>BF38*H38</f>
        <v>0</v>
      </c>
      <c r="BI38" s="34"/>
    </row>
    <row r="39" spans="1:61" ht="14.25" customHeight="1">
      <c r="A39" s="50">
        <v>30</v>
      </c>
      <c r="B39" s="109">
        <v>4</v>
      </c>
      <c r="C39" s="36" t="s">
        <v>57</v>
      </c>
      <c r="D39" s="36"/>
      <c r="E39" s="26" t="s">
        <v>58</v>
      </c>
      <c r="F39" s="27">
        <v>6</v>
      </c>
      <c r="G39" s="28">
        <f t="shared" si="1"/>
        <v>0</v>
      </c>
      <c r="H39" s="116"/>
      <c r="I39" s="114"/>
      <c r="J39" s="282"/>
      <c r="K39" s="193"/>
      <c r="L39" s="193"/>
      <c r="M39" s="193"/>
      <c r="N39" s="193"/>
      <c r="O39" s="193"/>
      <c r="P39" s="193"/>
      <c r="Q39" s="193"/>
      <c r="R39" s="29"/>
      <c r="S39" s="257"/>
      <c r="T39" s="257"/>
      <c r="U39" s="257"/>
      <c r="V39" s="29"/>
      <c r="W39" s="257"/>
      <c r="X39" s="257"/>
      <c r="Y39" s="257"/>
      <c r="Z39" s="257"/>
      <c r="AA39" s="257"/>
      <c r="AB39" s="142">
        <f>IF(ISNA(HLOOKUP(AG39,M1a,2,0)),0,HLOOKUP(AG39,M1a,2,0))</f>
        <v>0</v>
      </c>
      <c r="AC39" s="213">
        <f t="shared" si="9"/>
        <v>0</v>
      </c>
      <c r="AD39" s="213">
        <f>H39</f>
        <v>0</v>
      </c>
      <c r="AE39" s="240"/>
      <c r="AF39" s="214">
        <f>IF(ISNA(HLOOKUP(AB39,M1ax,7)),0,HLOOKUP(AB39,M1ax,6))</f>
        <v>0</v>
      </c>
      <c r="AG39" s="257">
        <f>IF($H39&gt;osztalyzat,10000*$H39+1000*$G39+100-$A39,10000*$H39+1000*(10-$G39)+100-$A39)</f>
        <v>10070</v>
      </c>
      <c r="AH39" s="257">
        <f aca="true" t="shared" si="28" ref="AH39:AQ39">IF(AG39=AG$68,-1,AG39)</f>
        <v>10070</v>
      </c>
      <c r="AI39" s="257">
        <f t="shared" si="28"/>
        <v>10070</v>
      </c>
      <c r="AJ39" s="257">
        <f t="shared" si="28"/>
        <v>10070</v>
      </c>
      <c r="AK39" s="257">
        <f t="shared" si="28"/>
        <v>10070</v>
      </c>
      <c r="AL39" s="257">
        <f t="shared" si="28"/>
        <v>10070</v>
      </c>
      <c r="AM39" s="257">
        <f t="shared" si="28"/>
        <v>10070</v>
      </c>
      <c r="AN39" s="257">
        <f t="shared" si="28"/>
        <v>10070</v>
      </c>
      <c r="AO39" s="257">
        <f t="shared" si="28"/>
        <v>10070</v>
      </c>
      <c r="AP39" s="257">
        <f t="shared" si="28"/>
        <v>10070</v>
      </c>
      <c r="AQ39" s="257">
        <f t="shared" si="28"/>
        <v>10070</v>
      </c>
      <c r="AR39" s="257">
        <f t="shared" si="26"/>
        <v>10070</v>
      </c>
      <c r="AS39" s="257">
        <f t="shared" si="26"/>
        <v>10070</v>
      </c>
      <c r="AT39" s="257">
        <f t="shared" si="26"/>
        <v>10070</v>
      </c>
      <c r="AU39" s="257">
        <f t="shared" si="26"/>
        <v>10070</v>
      </c>
      <c r="AV39" s="30"/>
      <c r="AW39" s="55"/>
      <c r="AX39" s="256"/>
      <c r="AY39" s="256"/>
      <c r="AZ39" s="256"/>
      <c r="BA39" s="31"/>
      <c r="BB39" s="32"/>
      <c r="BC39" s="32"/>
      <c r="BD39" s="142">
        <f>IF(AND(AB39&gt;0,AB39&lt;13),G39,0)</f>
        <v>0</v>
      </c>
      <c r="BE39" s="143">
        <f>IF(AND(AB39&gt;0,AB39&lt;13),H39*F39,0)</f>
        <v>0</v>
      </c>
      <c r="BF39" s="143">
        <f>AF39*AC39</f>
        <v>0</v>
      </c>
      <c r="BG39" s="215">
        <f>IF(AND(G39&lt;&gt;BF39,BF39&gt;0),"x","")</f>
      </c>
      <c r="BH39" s="143">
        <f>BF39*H39</f>
        <v>0</v>
      </c>
      <c r="BI39" s="34"/>
    </row>
    <row r="40" spans="1:61" ht="14.25" customHeight="1">
      <c r="A40" s="50">
        <v>31</v>
      </c>
      <c r="B40" s="109">
        <v>4</v>
      </c>
      <c r="C40" s="36" t="s">
        <v>59</v>
      </c>
      <c r="D40" s="36"/>
      <c r="E40" s="60" t="s">
        <v>60</v>
      </c>
      <c r="F40" s="61">
        <v>0</v>
      </c>
      <c r="G40" s="62">
        <f t="shared" si="1"/>
        <v>0</v>
      </c>
      <c r="H40" s="116"/>
      <c r="I40" s="114"/>
      <c r="J40" s="282"/>
      <c r="K40" s="193"/>
      <c r="L40" s="193"/>
      <c r="M40" s="193"/>
      <c r="N40" s="193"/>
      <c r="O40" s="193"/>
      <c r="P40" s="193"/>
      <c r="Q40" s="193"/>
      <c r="R40" s="29"/>
      <c r="S40" s="257"/>
      <c r="T40" s="257"/>
      <c r="U40" s="257"/>
      <c r="V40" s="29"/>
      <c r="W40" s="257"/>
      <c r="X40" s="257"/>
      <c r="Y40" s="257"/>
      <c r="Z40" s="257"/>
      <c r="AA40" s="257"/>
      <c r="AB40" s="260"/>
      <c r="AC40" s="192">
        <f t="shared" si="9"/>
        <v>0</v>
      </c>
      <c r="AD40" s="240"/>
      <c r="AE40" s="240"/>
      <c r="AF40" s="206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30"/>
      <c r="AW40" s="55"/>
      <c r="AX40" s="256"/>
      <c r="AY40" s="256"/>
      <c r="AZ40" s="256"/>
      <c r="BA40" s="31"/>
      <c r="BB40" s="32"/>
      <c r="BC40" s="32"/>
      <c r="BD40" s="31"/>
      <c r="BE40" s="32"/>
      <c r="BF40" s="32"/>
      <c r="BG40" s="32"/>
      <c r="BH40" s="33">
        <f>IF(AB40&gt;0,IF(AB40&lt;9,H40*F40,""),"")</f>
      </c>
      <c r="BI40" s="133">
        <f>H40</f>
        <v>0</v>
      </c>
    </row>
    <row r="41" spans="1:61" ht="14.25" customHeight="1">
      <c r="A41" s="50">
        <v>32</v>
      </c>
      <c r="B41" s="110">
        <v>4</v>
      </c>
      <c r="C41" s="38" t="s">
        <v>61</v>
      </c>
      <c r="D41" s="38"/>
      <c r="E41" s="26" t="s">
        <v>62</v>
      </c>
      <c r="F41" s="27">
        <v>3</v>
      </c>
      <c r="G41" s="28">
        <f t="shared" si="1"/>
        <v>0</v>
      </c>
      <c r="H41" s="117"/>
      <c r="I41" s="114"/>
      <c r="J41" s="142">
        <f>IF(ISNA(HLOOKUP(K41,T1a,2,0)),0,HLOOKUP(K41,T1a,2,0))</f>
        <v>7</v>
      </c>
      <c r="K41" s="193">
        <f>10000*$H41+1000*$G41+100-$A41</f>
        <v>68</v>
      </c>
      <c r="L41" s="193">
        <f aca="true" t="shared" si="29" ref="L41:Q41">IF(K41=K$68,-1,K41)</f>
        <v>68</v>
      </c>
      <c r="M41" s="193">
        <f t="shared" si="29"/>
        <v>68</v>
      </c>
      <c r="N41" s="193">
        <f t="shared" si="29"/>
        <v>68</v>
      </c>
      <c r="O41" s="193">
        <f t="shared" si="29"/>
        <v>68</v>
      </c>
      <c r="P41" s="193">
        <f t="shared" si="29"/>
        <v>68</v>
      </c>
      <c r="Q41" s="193">
        <f t="shared" si="29"/>
        <v>68</v>
      </c>
      <c r="R41" s="29"/>
      <c r="S41" s="257"/>
      <c r="T41" s="257"/>
      <c r="U41" s="257"/>
      <c r="V41" s="29"/>
      <c r="W41" s="257"/>
      <c r="X41" s="257"/>
      <c r="Y41" s="257"/>
      <c r="Z41" s="257"/>
      <c r="AA41" s="257"/>
      <c r="AB41" s="260"/>
      <c r="AC41" s="192">
        <f t="shared" si="9"/>
        <v>0</v>
      </c>
      <c r="AD41" s="240"/>
      <c r="AE41" s="240"/>
      <c r="AF41" s="206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30"/>
      <c r="AW41" s="55"/>
      <c r="AX41" s="256"/>
      <c r="AY41" s="256"/>
      <c r="AZ41" s="256"/>
      <c r="BA41" s="143">
        <f>IF(J41&gt;0,H41,0)</f>
        <v>0</v>
      </c>
      <c r="BB41" s="32"/>
      <c r="BC41" s="32"/>
      <c r="BD41" s="31"/>
      <c r="BE41" s="32"/>
      <c r="BF41" s="32"/>
      <c r="BG41" s="32"/>
      <c r="BH41" s="33">
        <f>IF(AB41&gt;0,IF(AB41&lt;9,H41*F41,""),"")</f>
      </c>
      <c r="BI41" s="34"/>
    </row>
    <row r="42" spans="1:61" ht="14.25" customHeight="1">
      <c r="A42" s="50">
        <v>33</v>
      </c>
      <c r="B42" s="110">
        <v>4</v>
      </c>
      <c r="C42" s="38" t="s">
        <v>63</v>
      </c>
      <c r="D42" s="38"/>
      <c r="E42" s="26" t="s">
        <v>64</v>
      </c>
      <c r="F42" s="27">
        <v>2</v>
      </c>
      <c r="G42" s="28">
        <f t="shared" si="1"/>
        <v>0</v>
      </c>
      <c r="H42" s="117"/>
      <c r="I42" s="114"/>
      <c r="J42" s="282"/>
      <c r="K42" s="193"/>
      <c r="L42" s="193"/>
      <c r="M42" s="193"/>
      <c r="N42" s="193"/>
      <c r="O42" s="193"/>
      <c r="P42" s="193"/>
      <c r="Q42" s="193"/>
      <c r="R42" s="29"/>
      <c r="S42" s="257"/>
      <c r="T42" s="257"/>
      <c r="U42" s="257"/>
      <c r="V42" s="143">
        <f>IF(ISNA(HLOOKUP(W42,ARa,2,0)),0,HLOOKUP(W42,ARa,2,0))</f>
        <v>0</v>
      </c>
      <c r="W42" s="257">
        <f>10000*$H42+1000*$G42+100-$A42</f>
        <v>67</v>
      </c>
      <c r="X42" s="257">
        <f>IF(W42=W$68,-1,W42)</f>
        <v>67</v>
      </c>
      <c r="Y42" s="257">
        <f>IF(X42=X$68,-1,X42)</f>
        <v>67</v>
      </c>
      <c r="Z42" s="257">
        <f>IF(Y42=Y$68,-1,Y42)</f>
        <v>67</v>
      </c>
      <c r="AA42" s="257">
        <f>IF(Z42=Z$68,-1,Z42)</f>
        <v>67</v>
      </c>
      <c r="AB42" s="260"/>
      <c r="AC42" s="192">
        <f t="shared" si="9"/>
        <v>0</v>
      </c>
      <c r="AD42" s="240"/>
      <c r="AE42" s="240"/>
      <c r="AF42" s="206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193"/>
      <c r="AV42" s="30"/>
      <c r="AW42" s="55"/>
      <c r="AX42" s="256"/>
      <c r="AY42" s="256"/>
      <c r="AZ42" s="256"/>
      <c r="BA42" s="31"/>
      <c r="BB42" s="32"/>
      <c r="BC42" s="143">
        <f>IF(V42&gt;0,H42,0)</f>
        <v>0</v>
      </c>
      <c r="BD42" s="31"/>
      <c r="BE42" s="32"/>
      <c r="BF42" s="32"/>
      <c r="BG42" s="32"/>
      <c r="BH42" s="33">
        <f aca="true" t="shared" si="30" ref="BH42:BH58">IF(AB42&gt;0,IF(AB42&lt;9,H42*F42,""),"")</f>
      </c>
      <c r="BI42" s="34"/>
    </row>
    <row r="43" spans="1:61" ht="14.25" customHeight="1">
      <c r="A43" s="50">
        <v>34</v>
      </c>
      <c r="B43" s="111">
        <v>4</v>
      </c>
      <c r="C43" s="39" t="s">
        <v>65</v>
      </c>
      <c r="D43" s="39"/>
      <c r="E43" s="26" t="s">
        <v>66</v>
      </c>
      <c r="F43" s="27">
        <v>2</v>
      </c>
      <c r="G43" s="28">
        <f t="shared" si="1"/>
        <v>0</v>
      </c>
      <c r="H43" s="118"/>
      <c r="I43" s="114"/>
      <c r="J43" s="142">
        <f>IF(ISNA(HLOOKUP(K43,T1a,2,0)),0,HLOOKUP(K43,T1a,2,0))</f>
        <v>0</v>
      </c>
      <c r="K43" s="193">
        <f>10000*$H43+1000*$G43+100-$A43</f>
        <v>66</v>
      </c>
      <c r="L43" s="193">
        <f aca="true" t="shared" si="31" ref="L43:Q44">IF(K43=K$68,-1,K43)</f>
        <v>66</v>
      </c>
      <c r="M43" s="193">
        <f t="shared" si="31"/>
        <v>66</v>
      </c>
      <c r="N43" s="193">
        <f t="shared" si="31"/>
        <v>66</v>
      </c>
      <c r="O43" s="193">
        <f t="shared" si="31"/>
        <v>66</v>
      </c>
      <c r="P43" s="193">
        <f t="shared" si="31"/>
        <v>66</v>
      </c>
      <c r="Q43" s="193">
        <f t="shared" si="31"/>
        <v>66</v>
      </c>
      <c r="R43" s="29"/>
      <c r="S43" s="257"/>
      <c r="T43" s="257"/>
      <c r="U43" s="257"/>
      <c r="V43" s="37"/>
      <c r="W43" s="257"/>
      <c r="X43" s="257"/>
      <c r="Y43" s="257"/>
      <c r="Z43" s="257"/>
      <c r="AA43" s="257"/>
      <c r="AB43" s="260"/>
      <c r="AC43" s="192">
        <f t="shared" si="9"/>
        <v>0</v>
      </c>
      <c r="AD43" s="240"/>
      <c r="AE43" s="240"/>
      <c r="AF43" s="206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3"/>
      <c r="AV43" s="30"/>
      <c r="AW43" s="55"/>
      <c r="AX43" s="256"/>
      <c r="AY43" s="256"/>
      <c r="AZ43" s="256"/>
      <c r="BA43" s="143">
        <f>IF(J43&gt;0,H43,0)</f>
        <v>0</v>
      </c>
      <c r="BB43" s="32"/>
      <c r="BC43" s="32"/>
      <c r="BD43" s="31"/>
      <c r="BE43" s="32"/>
      <c r="BF43" s="32"/>
      <c r="BG43" s="32"/>
      <c r="BH43" s="33">
        <f t="shared" si="30"/>
      </c>
      <c r="BI43" s="34"/>
    </row>
    <row r="44" spans="1:61" ht="14.25" customHeight="1">
      <c r="A44" s="50">
        <v>35</v>
      </c>
      <c r="B44" s="111">
        <v>4</v>
      </c>
      <c r="C44" s="39" t="s">
        <v>67</v>
      </c>
      <c r="D44" s="39"/>
      <c r="E44" s="26" t="s">
        <v>68</v>
      </c>
      <c r="F44" s="27">
        <v>2</v>
      </c>
      <c r="G44" s="28">
        <f t="shared" si="1"/>
        <v>0</v>
      </c>
      <c r="H44" s="118"/>
      <c r="I44" s="114"/>
      <c r="J44" s="142">
        <f>IF(ISNA(HLOOKUP(K44,T1a,2,0)),0,HLOOKUP(K44,T1a,2,0))</f>
        <v>0</v>
      </c>
      <c r="K44" s="193">
        <f>10000*$H44+1000*$G44+100-$A44</f>
        <v>65</v>
      </c>
      <c r="L44" s="193">
        <f t="shared" si="31"/>
        <v>65</v>
      </c>
      <c r="M44" s="193">
        <f t="shared" si="31"/>
        <v>65</v>
      </c>
      <c r="N44" s="193">
        <f t="shared" si="31"/>
        <v>65</v>
      </c>
      <c r="O44" s="193">
        <f t="shared" si="31"/>
        <v>65</v>
      </c>
      <c r="P44" s="193">
        <f t="shared" si="31"/>
        <v>65</v>
      </c>
      <c r="Q44" s="193">
        <f t="shared" si="31"/>
        <v>65</v>
      </c>
      <c r="R44" s="29"/>
      <c r="S44" s="257"/>
      <c r="T44" s="257"/>
      <c r="U44" s="257"/>
      <c r="V44" s="29"/>
      <c r="W44" s="257"/>
      <c r="X44" s="257"/>
      <c r="Y44" s="257"/>
      <c r="Z44" s="257"/>
      <c r="AA44" s="257"/>
      <c r="AB44" s="260"/>
      <c r="AC44" s="192">
        <f t="shared" si="9"/>
        <v>0</v>
      </c>
      <c r="AD44" s="240"/>
      <c r="AE44" s="240"/>
      <c r="AF44" s="206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  <c r="AS44" s="193"/>
      <c r="AT44" s="193"/>
      <c r="AU44" s="193"/>
      <c r="AV44" s="30"/>
      <c r="AW44" s="55"/>
      <c r="AX44" s="256"/>
      <c r="AY44" s="256"/>
      <c r="AZ44" s="256"/>
      <c r="BA44" s="143">
        <f>IF(J44&gt;0,H44,0)</f>
        <v>0</v>
      </c>
      <c r="BB44" s="32"/>
      <c r="BC44" s="32"/>
      <c r="BD44" s="31"/>
      <c r="BE44" s="32"/>
      <c r="BF44" s="32"/>
      <c r="BG44" s="32"/>
      <c r="BH44" s="33">
        <f t="shared" si="30"/>
      </c>
      <c r="BI44" s="34"/>
    </row>
    <row r="45" spans="1:61" ht="14.25" customHeight="1" thickBot="1">
      <c r="A45" s="50">
        <v>36</v>
      </c>
      <c r="B45" s="131">
        <v>4</v>
      </c>
      <c r="C45" s="40" t="s">
        <v>69</v>
      </c>
      <c r="D45" s="40"/>
      <c r="E45" s="41" t="s">
        <v>70</v>
      </c>
      <c r="F45" s="42">
        <v>6</v>
      </c>
      <c r="G45" s="43">
        <f t="shared" si="1"/>
        <v>0</v>
      </c>
      <c r="H45" s="119"/>
      <c r="I45" s="120"/>
      <c r="J45" s="284"/>
      <c r="K45" s="193"/>
      <c r="L45" s="193"/>
      <c r="M45" s="193"/>
      <c r="N45" s="193"/>
      <c r="O45" s="193"/>
      <c r="P45" s="193"/>
      <c r="Q45" s="193"/>
      <c r="R45" s="145">
        <f>IF(ISNA(HLOOKUP(S45,T2a,2,0)),0,HLOOKUP(S45,T2a,2,0))</f>
        <v>0</v>
      </c>
      <c r="S45" s="257">
        <f>10000*$H45+1000*$G45+100-$A45</f>
        <v>64</v>
      </c>
      <c r="T45" s="257">
        <f>IF(S45=S$68,-1,S45)</f>
        <v>64</v>
      </c>
      <c r="U45" s="257">
        <f>IF(T45=T$68,-1,T45)</f>
        <v>64</v>
      </c>
      <c r="V45" s="44"/>
      <c r="W45" s="257"/>
      <c r="X45" s="257"/>
      <c r="Y45" s="257"/>
      <c r="Z45" s="257"/>
      <c r="AA45" s="257"/>
      <c r="AB45" s="262"/>
      <c r="AC45" s="192">
        <f t="shared" si="9"/>
        <v>0</v>
      </c>
      <c r="AD45" s="240"/>
      <c r="AE45" s="240"/>
      <c r="AF45" s="206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45"/>
      <c r="AW45" s="55"/>
      <c r="AX45" s="256"/>
      <c r="AY45" s="256"/>
      <c r="AZ45" s="256"/>
      <c r="BA45" s="46"/>
      <c r="BB45" s="144">
        <f>IF(R45&gt;0,H45,0)</f>
        <v>0</v>
      </c>
      <c r="BC45" s="48"/>
      <c r="BD45" s="46"/>
      <c r="BE45" s="47"/>
      <c r="BF45" s="47"/>
      <c r="BG45" s="47"/>
      <c r="BH45" s="49">
        <f t="shared" si="30"/>
      </c>
      <c r="BI45" s="49"/>
    </row>
    <row r="46" spans="1:61" ht="14.25" customHeight="1">
      <c r="A46" s="50">
        <v>37</v>
      </c>
      <c r="B46" s="132">
        <v>5</v>
      </c>
      <c r="C46" s="63" t="s">
        <v>71</v>
      </c>
      <c r="D46" s="63"/>
      <c r="E46" s="52" t="s">
        <v>72</v>
      </c>
      <c r="F46" s="53">
        <v>3</v>
      </c>
      <c r="G46" s="54">
        <f t="shared" si="1"/>
        <v>0</v>
      </c>
      <c r="H46" s="123"/>
      <c r="I46" s="122"/>
      <c r="J46" s="292"/>
      <c r="K46" s="193"/>
      <c r="L46" s="193"/>
      <c r="M46" s="193"/>
      <c r="N46" s="193"/>
      <c r="O46" s="193"/>
      <c r="P46" s="193"/>
      <c r="Q46" s="193"/>
      <c r="R46" s="55"/>
      <c r="S46" s="257"/>
      <c r="T46" s="257"/>
      <c r="U46" s="257"/>
      <c r="V46" s="55"/>
      <c r="W46" s="257"/>
      <c r="X46" s="257"/>
      <c r="Y46" s="257"/>
      <c r="Z46" s="257"/>
      <c r="AA46" s="257"/>
      <c r="AB46" s="266">
        <f>IF(ISNA(HLOOKUP(AG46,M1a,2,0)),0,HLOOKUP(AG46,M1a,2,0))</f>
        <v>0</v>
      </c>
      <c r="AC46" s="213">
        <f t="shared" si="9"/>
        <v>0</v>
      </c>
      <c r="AD46" s="213">
        <f>H46</f>
        <v>0</v>
      </c>
      <c r="AE46" s="240"/>
      <c r="AF46" s="214">
        <f>IF(ISNA(HLOOKUP(AB46,M1ax,7)),0,HLOOKUP(AB46,M1ax,6))</f>
        <v>0</v>
      </c>
      <c r="AG46" s="257">
        <f>IF($H46&gt;osztalyzat,10000*$H46+1000*$G46+100-$A46,10000*$H46+1000*(10-$G46)+100-$A46)</f>
        <v>10063</v>
      </c>
      <c r="AH46" s="257">
        <f aca="true" t="shared" si="32" ref="AH46:AQ46">IF(AG46=AG$68,-1,AG46)</f>
        <v>10063</v>
      </c>
      <c r="AI46" s="257">
        <f t="shared" si="32"/>
        <v>10063</v>
      </c>
      <c r="AJ46" s="257">
        <f t="shared" si="32"/>
        <v>10063</v>
      </c>
      <c r="AK46" s="257">
        <f t="shared" si="32"/>
        <v>10063</v>
      </c>
      <c r="AL46" s="257">
        <f t="shared" si="32"/>
        <v>10063</v>
      </c>
      <c r="AM46" s="257">
        <f t="shared" si="32"/>
        <v>10063</v>
      </c>
      <c r="AN46" s="257">
        <f t="shared" si="32"/>
        <v>10063</v>
      </c>
      <c r="AO46" s="257">
        <f t="shared" si="32"/>
        <v>10063</v>
      </c>
      <c r="AP46" s="257">
        <f t="shared" si="32"/>
        <v>10063</v>
      </c>
      <c r="AQ46" s="257">
        <f t="shared" si="32"/>
        <v>10063</v>
      </c>
      <c r="AR46" s="257">
        <f aca="true" t="shared" si="33" ref="AR46:AU51">IF(AQ46=AQ$68,-1,AQ46)</f>
        <v>10063</v>
      </c>
      <c r="AS46" s="257">
        <f t="shared" si="33"/>
        <v>10063</v>
      </c>
      <c r="AT46" s="257">
        <f t="shared" si="33"/>
        <v>10063</v>
      </c>
      <c r="AU46" s="257">
        <f t="shared" si="33"/>
        <v>10063</v>
      </c>
      <c r="AV46" s="56"/>
      <c r="AW46" s="55"/>
      <c r="AX46" s="256"/>
      <c r="AY46" s="256"/>
      <c r="AZ46" s="256"/>
      <c r="BA46" s="57"/>
      <c r="BB46" s="9"/>
      <c r="BC46" s="9"/>
      <c r="BD46" s="142">
        <f>IF(AND(AB46&gt;0,AB46&lt;13),G46,0)</f>
        <v>0</v>
      </c>
      <c r="BE46" s="143">
        <f>IF(AND(AB46&gt;0,AB46&lt;13),H46*F46,0)</f>
        <v>0</v>
      </c>
      <c r="BF46" s="143">
        <f>AF46*AC46</f>
        <v>0</v>
      </c>
      <c r="BG46" s="215">
        <f>IF(AND(G46&lt;&gt;BF46,BF46&gt;0),"x","")</f>
      </c>
      <c r="BH46" s="143">
        <f>H46*BF46</f>
        <v>0</v>
      </c>
      <c r="BI46" s="59"/>
    </row>
    <row r="47" spans="1:61" ht="14.25" customHeight="1">
      <c r="A47" s="50">
        <v>38</v>
      </c>
      <c r="B47" s="109">
        <v>5</v>
      </c>
      <c r="C47" s="36" t="s">
        <v>73</v>
      </c>
      <c r="D47" s="36"/>
      <c r="E47" s="26" t="s">
        <v>74</v>
      </c>
      <c r="F47" s="27">
        <v>2</v>
      </c>
      <c r="G47" s="28">
        <f t="shared" si="1"/>
        <v>0</v>
      </c>
      <c r="H47" s="116"/>
      <c r="I47" s="114"/>
      <c r="J47" s="282"/>
      <c r="K47" s="193"/>
      <c r="L47" s="193"/>
      <c r="M47" s="193"/>
      <c r="N47" s="193"/>
      <c r="O47" s="193"/>
      <c r="P47" s="193"/>
      <c r="Q47" s="193"/>
      <c r="R47" s="29"/>
      <c r="S47" s="257"/>
      <c r="T47" s="257"/>
      <c r="U47" s="257"/>
      <c r="V47" s="29"/>
      <c r="W47" s="257"/>
      <c r="X47" s="257"/>
      <c r="Y47" s="257"/>
      <c r="Z47" s="257"/>
      <c r="AA47" s="257"/>
      <c r="AB47" s="142">
        <f>IF(ISNA(HLOOKUP(AG47,M1a,2,0)),0,HLOOKUP(AG47,M1a,2,0))</f>
        <v>0</v>
      </c>
      <c r="AC47" s="213">
        <f t="shared" si="9"/>
        <v>0</v>
      </c>
      <c r="AD47" s="213">
        <f>H47</f>
        <v>0</v>
      </c>
      <c r="AE47" s="240"/>
      <c r="AF47" s="214">
        <f>IF(ISNA(HLOOKUP(AB47,M1ax,7)),0,HLOOKUP(AB47,M1ax,6))</f>
        <v>0</v>
      </c>
      <c r="AG47" s="257">
        <f>IF($H47&gt;osztalyzat,10000*$H47+1000*$G47+100-$A47,10000*$H47+1000*(10-$G47)+100-$A47)</f>
        <v>10062</v>
      </c>
      <c r="AH47" s="257">
        <f aca="true" t="shared" si="34" ref="AH47:AQ47">IF(AG47=AG$68,-1,AG47)</f>
        <v>10062</v>
      </c>
      <c r="AI47" s="257">
        <f t="shared" si="34"/>
        <v>10062</v>
      </c>
      <c r="AJ47" s="257">
        <f t="shared" si="34"/>
        <v>10062</v>
      </c>
      <c r="AK47" s="257">
        <f t="shared" si="34"/>
        <v>10062</v>
      </c>
      <c r="AL47" s="257">
        <f t="shared" si="34"/>
        <v>10062</v>
      </c>
      <c r="AM47" s="257">
        <f t="shared" si="34"/>
        <v>10062</v>
      </c>
      <c r="AN47" s="257">
        <f t="shared" si="34"/>
        <v>10062</v>
      </c>
      <c r="AO47" s="257">
        <f t="shared" si="34"/>
        <v>10062</v>
      </c>
      <c r="AP47" s="257">
        <f t="shared" si="34"/>
        <v>10062</v>
      </c>
      <c r="AQ47" s="257">
        <f t="shared" si="34"/>
        <v>10062</v>
      </c>
      <c r="AR47" s="257">
        <f t="shared" si="33"/>
        <v>10062</v>
      </c>
      <c r="AS47" s="257">
        <f t="shared" si="33"/>
        <v>10062</v>
      </c>
      <c r="AT47" s="257">
        <f t="shared" si="33"/>
        <v>10062</v>
      </c>
      <c r="AU47" s="257">
        <f t="shared" si="33"/>
        <v>10062</v>
      </c>
      <c r="AV47" s="30"/>
      <c r="AW47" s="55"/>
      <c r="AX47" s="256"/>
      <c r="AY47" s="256"/>
      <c r="AZ47" s="256"/>
      <c r="BA47" s="31"/>
      <c r="BB47" s="32"/>
      <c r="BC47" s="32"/>
      <c r="BD47" s="142">
        <f>IF(AND(AB47&gt;0,AB47&lt;13),G47,0)</f>
        <v>0</v>
      </c>
      <c r="BE47" s="143">
        <f>IF(AND(AB47&gt;0,AB47&lt;13),H47*F47,0)</f>
        <v>0</v>
      </c>
      <c r="BF47" s="143">
        <f>AF47*AC47</f>
        <v>0</v>
      </c>
      <c r="BG47" s="215">
        <f>IF(AND(G47&lt;&gt;BF47,BF47&gt;0),"x","")</f>
      </c>
      <c r="BH47" s="143">
        <f>H47*BF47</f>
        <v>0</v>
      </c>
      <c r="BI47" s="34"/>
    </row>
    <row r="48" spans="1:61" ht="14.25" customHeight="1">
      <c r="A48" s="50">
        <v>39</v>
      </c>
      <c r="B48" s="109">
        <v>5</v>
      </c>
      <c r="C48" s="36" t="s">
        <v>75</v>
      </c>
      <c r="D48" s="36"/>
      <c r="E48" s="26" t="s">
        <v>76</v>
      </c>
      <c r="F48" s="27">
        <v>2</v>
      </c>
      <c r="G48" s="28">
        <f t="shared" si="1"/>
        <v>0</v>
      </c>
      <c r="H48" s="116"/>
      <c r="I48" s="114"/>
      <c r="J48" s="282"/>
      <c r="K48" s="193"/>
      <c r="L48" s="193"/>
      <c r="M48" s="193"/>
      <c r="N48" s="193"/>
      <c r="O48" s="193"/>
      <c r="P48" s="193"/>
      <c r="Q48" s="193"/>
      <c r="R48" s="29"/>
      <c r="S48" s="257"/>
      <c r="T48" s="257"/>
      <c r="U48" s="257"/>
      <c r="V48" s="29"/>
      <c r="W48" s="257"/>
      <c r="X48" s="257"/>
      <c r="Y48" s="257"/>
      <c r="Z48" s="257"/>
      <c r="AA48" s="257"/>
      <c r="AB48" s="142">
        <f>IF(ISNA(HLOOKUP(AG48,M1a,2,0)),0,HLOOKUP(AG48,M1a,2,0))</f>
        <v>0</v>
      </c>
      <c r="AC48" s="213">
        <f t="shared" si="9"/>
        <v>0</v>
      </c>
      <c r="AD48" s="213">
        <f>H48</f>
        <v>0</v>
      </c>
      <c r="AE48" s="240"/>
      <c r="AF48" s="214">
        <f>IF(ISNA(HLOOKUP(AB48,M1ax,7)),0,HLOOKUP(AB48,M1ax,6))</f>
        <v>0</v>
      </c>
      <c r="AG48" s="257">
        <f>IF($H48&gt;osztalyzat,10000*$H48+1000*$G48+100-$A48,10000*$H48+1000*(10-$G48)+100-$A48)</f>
        <v>10061</v>
      </c>
      <c r="AH48" s="257">
        <f aca="true" t="shared" si="35" ref="AH48:AQ48">IF(AG48=AG$68,-1,AG48)</f>
        <v>10061</v>
      </c>
      <c r="AI48" s="257">
        <f t="shared" si="35"/>
        <v>10061</v>
      </c>
      <c r="AJ48" s="257">
        <f t="shared" si="35"/>
        <v>10061</v>
      </c>
      <c r="AK48" s="257">
        <f t="shared" si="35"/>
        <v>10061</v>
      </c>
      <c r="AL48" s="257">
        <f t="shared" si="35"/>
        <v>10061</v>
      </c>
      <c r="AM48" s="257">
        <f t="shared" si="35"/>
        <v>10061</v>
      </c>
      <c r="AN48" s="257">
        <f t="shared" si="35"/>
        <v>10061</v>
      </c>
      <c r="AO48" s="257">
        <f t="shared" si="35"/>
        <v>10061</v>
      </c>
      <c r="AP48" s="257">
        <f t="shared" si="35"/>
        <v>10061</v>
      </c>
      <c r="AQ48" s="257">
        <f t="shared" si="35"/>
        <v>10061</v>
      </c>
      <c r="AR48" s="257">
        <f t="shared" si="33"/>
        <v>10061</v>
      </c>
      <c r="AS48" s="257">
        <f t="shared" si="33"/>
        <v>10061</v>
      </c>
      <c r="AT48" s="257">
        <f t="shared" si="33"/>
        <v>10061</v>
      </c>
      <c r="AU48" s="257">
        <f t="shared" si="33"/>
        <v>10061</v>
      </c>
      <c r="AV48" s="30"/>
      <c r="AW48" s="55"/>
      <c r="AX48" s="256"/>
      <c r="AY48" s="256"/>
      <c r="AZ48" s="256"/>
      <c r="BA48" s="31"/>
      <c r="BB48" s="32"/>
      <c r="BC48" s="32"/>
      <c r="BD48" s="142">
        <f>IF(AND(AB48&gt;0,AB48&lt;13),G48,0)</f>
        <v>0</v>
      </c>
      <c r="BE48" s="143">
        <f>IF(AND(AB48&gt;0,AB48&lt;13),H48*F48,0)</f>
        <v>0</v>
      </c>
      <c r="BF48" s="143">
        <f>AF48*AC48</f>
        <v>0</v>
      </c>
      <c r="BG48" s="215">
        <f>IF(AND(G48&lt;&gt;BF48,BF48&gt;0),"x","")</f>
      </c>
      <c r="BH48" s="143">
        <f>H48*BF48</f>
        <v>0</v>
      </c>
      <c r="BI48" s="34"/>
    </row>
    <row r="49" spans="1:61" ht="14.25" customHeight="1">
      <c r="A49" s="50">
        <v>40</v>
      </c>
      <c r="B49" s="109">
        <v>5</v>
      </c>
      <c r="C49" s="36" t="s">
        <v>77</v>
      </c>
      <c r="D49" s="36"/>
      <c r="E49" s="26" t="s">
        <v>78</v>
      </c>
      <c r="F49" s="27">
        <v>4</v>
      </c>
      <c r="G49" s="28">
        <f t="shared" si="1"/>
        <v>0</v>
      </c>
      <c r="H49" s="116"/>
      <c r="I49" s="114"/>
      <c r="J49" s="282"/>
      <c r="K49" s="193"/>
      <c r="L49" s="193"/>
      <c r="M49" s="193"/>
      <c r="N49" s="193"/>
      <c r="O49" s="193"/>
      <c r="P49" s="193"/>
      <c r="Q49" s="193"/>
      <c r="R49" s="29"/>
      <c r="S49" s="257"/>
      <c r="T49" s="257"/>
      <c r="U49" s="257"/>
      <c r="V49" s="29"/>
      <c r="W49" s="257"/>
      <c r="X49" s="257"/>
      <c r="Y49" s="257"/>
      <c r="Z49" s="257"/>
      <c r="AA49" s="257"/>
      <c r="AB49" s="142">
        <f>IF(ISNA(HLOOKUP(AG49,M1a,2,0)),0,HLOOKUP(AG49,M1a,2,0))</f>
        <v>0</v>
      </c>
      <c r="AC49" s="213">
        <f t="shared" si="9"/>
        <v>0</v>
      </c>
      <c r="AD49" s="213">
        <f>H49</f>
        <v>0</v>
      </c>
      <c r="AE49" s="240"/>
      <c r="AF49" s="214">
        <f>IF(ISNA(HLOOKUP(AB49,M1ax,7)),0,HLOOKUP(AB49,M1ax,6))</f>
        <v>0</v>
      </c>
      <c r="AG49" s="257">
        <f>IF($H49&gt;osztalyzat,10000*$H49+1000*$G49+100-$A49,10000*$H49+1000*(10-$G49)+100-$A49)</f>
        <v>10060</v>
      </c>
      <c r="AH49" s="257">
        <f aca="true" t="shared" si="36" ref="AH49:AQ49">IF(AG49=AG$68,-1,AG49)</f>
        <v>10060</v>
      </c>
      <c r="AI49" s="257">
        <f t="shared" si="36"/>
        <v>10060</v>
      </c>
      <c r="AJ49" s="257">
        <f t="shared" si="36"/>
        <v>10060</v>
      </c>
      <c r="AK49" s="257">
        <f t="shared" si="36"/>
        <v>10060</v>
      </c>
      <c r="AL49" s="257">
        <f t="shared" si="36"/>
        <v>10060</v>
      </c>
      <c r="AM49" s="257">
        <f t="shared" si="36"/>
        <v>10060</v>
      </c>
      <c r="AN49" s="257">
        <f t="shared" si="36"/>
        <v>10060</v>
      </c>
      <c r="AO49" s="257">
        <f t="shared" si="36"/>
        <v>10060</v>
      </c>
      <c r="AP49" s="257">
        <f t="shared" si="36"/>
        <v>10060</v>
      </c>
      <c r="AQ49" s="257">
        <f t="shared" si="36"/>
        <v>10060</v>
      </c>
      <c r="AR49" s="257">
        <f t="shared" si="33"/>
        <v>10060</v>
      </c>
      <c r="AS49" s="257">
        <f t="shared" si="33"/>
        <v>10060</v>
      </c>
      <c r="AT49" s="257">
        <f t="shared" si="33"/>
        <v>10060</v>
      </c>
      <c r="AU49" s="257">
        <f t="shared" si="33"/>
        <v>10060</v>
      </c>
      <c r="AV49" s="30"/>
      <c r="AW49" s="55"/>
      <c r="AX49" s="256"/>
      <c r="AY49" s="256"/>
      <c r="AZ49" s="256"/>
      <c r="BA49" s="31"/>
      <c r="BB49" s="32"/>
      <c r="BC49" s="32"/>
      <c r="BD49" s="142">
        <f>IF(AND(AB49&gt;0,AB49&lt;13),G49,0)</f>
        <v>0</v>
      </c>
      <c r="BE49" s="143">
        <f>IF(AND(AB49&gt;0,AB49&lt;13),H49*F49,0)</f>
        <v>0</v>
      </c>
      <c r="BF49" s="143">
        <f>AF49*AC49</f>
        <v>0</v>
      </c>
      <c r="BG49" s="215">
        <f>IF(AND(G49&lt;&gt;BF49,BF49&gt;0),"x","")</f>
      </c>
      <c r="BH49" s="143">
        <f>H49*BF49</f>
        <v>0</v>
      </c>
      <c r="BI49" s="34"/>
    </row>
    <row r="50" spans="1:61" ht="14.25" customHeight="1">
      <c r="A50" s="50">
        <v>41</v>
      </c>
      <c r="B50" s="109">
        <v>5</v>
      </c>
      <c r="C50" s="36" t="s">
        <v>79</v>
      </c>
      <c r="D50" s="36"/>
      <c r="E50" s="60" t="s">
        <v>80</v>
      </c>
      <c r="F50" s="61">
        <v>0</v>
      </c>
      <c r="G50" s="62">
        <f t="shared" si="1"/>
        <v>0</v>
      </c>
      <c r="H50" s="116"/>
      <c r="I50" s="114"/>
      <c r="J50" s="282"/>
      <c r="K50" s="193"/>
      <c r="L50" s="193"/>
      <c r="M50" s="193"/>
      <c r="N50" s="193"/>
      <c r="O50" s="193"/>
      <c r="P50" s="193"/>
      <c r="Q50" s="193"/>
      <c r="R50" s="29"/>
      <c r="S50" s="257"/>
      <c r="T50" s="257"/>
      <c r="U50" s="257"/>
      <c r="V50" s="29"/>
      <c r="W50" s="257"/>
      <c r="X50" s="257"/>
      <c r="Y50" s="257"/>
      <c r="Z50" s="257"/>
      <c r="AA50" s="257"/>
      <c r="AB50" s="260"/>
      <c r="AC50" s="192">
        <f t="shared" si="9"/>
        <v>0</v>
      </c>
      <c r="AD50" s="240"/>
      <c r="AE50" s="240"/>
      <c r="AF50" s="206"/>
      <c r="AG50" s="257"/>
      <c r="AH50" s="193">
        <f aca="true" t="shared" si="37" ref="AH50:AQ50">IF(AG50=AG$68,-1,AG50)</f>
        <v>0</v>
      </c>
      <c r="AI50" s="193">
        <f t="shared" si="37"/>
        <v>0</v>
      </c>
      <c r="AJ50" s="193">
        <f t="shared" si="37"/>
        <v>0</v>
      </c>
      <c r="AK50" s="193">
        <f t="shared" si="37"/>
        <v>0</v>
      </c>
      <c r="AL50" s="193">
        <f t="shared" si="37"/>
        <v>0</v>
      </c>
      <c r="AM50" s="193">
        <f t="shared" si="37"/>
        <v>0</v>
      </c>
      <c r="AN50" s="193">
        <f t="shared" si="37"/>
        <v>0</v>
      </c>
      <c r="AO50" s="193">
        <f t="shared" si="37"/>
        <v>0</v>
      </c>
      <c r="AP50" s="193">
        <f t="shared" si="37"/>
        <v>0</v>
      </c>
      <c r="AQ50" s="193">
        <f t="shared" si="37"/>
        <v>0</v>
      </c>
      <c r="AR50" s="193">
        <f t="shared" si="33"/>
        <v>0</v>
      </c>
      <c r="AS50" s="193">
        <f t="shared" si="33"/>
        <v>0</v>
      </c>
      <c r="AT50" s="193">
        <f t="shared" si="33"/>
        <v>0</v>
      </c>
      <c r="AU50" s="193">
        <f t="shared" si="33"/>
        <v>0</v>
      </c>
      <c r="AV50" s="30"/>
      <c r="AW50" s="55"/>
      <c r="AX50" s="256"/>
      <c r="AY50" s="256"/>
      <c r="AZ50" s="256"/>
      <c r="BA50" s="31"/>
      <c r="BB50" s="32"/>
      <c r="BC50" s="32"/>
      <c r="BD50" s="31"/>
      <c r="BE50" s="32"/>
      <c r="BF50" s="32"/>
      <c r="BG50" s="32"/>
      <c r="BH50" s="33">
        <f t="shared" si="30"/>
      </c>
      <c r="BI50" s="133">
        <f>H50</f>
        <v>0</v>
      </c>
    </row>
    <row r="51" spans="1:61" ht="14.25" customHeight="1">
      <c r="A51" s="50">
        <v>42</v>
      </c>
      <c r="B51" s="109">
        <v>5</v>
      </c>
      <c r="C51" s="36" t="s">
        <v>81</v>
      </c>
      <c r="D51" s="36"/>
      <c r="E51" s="26" t="s">
        <v>82</v>
      </c>
      <c r="F51" s="27">
        <v>6</v>
      </c>
      <c r="G51" s="28">
        <f t="shared" si="1"/>
        <v>0</v>
      </c>
      <c r="H51" s="116"/>
      <c r="I51" s="114"/>
      <c r="J51" s="282"/>
      <c r="K51" s="193"/>
      <c r="L51" s="193"/>
      <c r="M51" s="193"/>
      <c r="N51" s="193"/>
      <c r="O51" s="193"/>
      <c r="P51" s="193"/>
      <c r="Q51" s="193"/>
      <c r="R51" s="29"/>
      <c r="S51" s="257"/>
      <c r="T51" s="257"/>
      <c r="U51" s="257"/>
      <c r="V51" s="29"/>
      <c r="W51" s="257"/>
      <c r="X51" s="257"/>
      <c r="Y51" s="257"/>
      <c r="Z51" s="257"/>
      <c r="AA51" s="257"/>
      <c r="AB51" s="142">
        <f>IF(ISNA(HLOOKUP(AG51,M1a,2,0)),0,HLOOKUP(AG51,M1a,2,0))</f>
        <v>0</v>
      </c>
      <c r="AC51" s="213">
        <f t="shared" si="9"/>
        <v>0</v>
      </c>
      <c r="AD51" s="213">
        <f>H51</f>
        <v>0</v>
      </c>
      <c r="AE51" s="240"/>
      <c r="AF51" s="214">
        <f>IF(ISNA(HLOOKUP(AB51,M1ax,7)),0,HLOOKUP(AB51,M1ax,6))</f>
        <v>0</v>
      </c>
      <c r="AG51" s="257">
        <f>IF($H51&gt;osztalyzat,10000*$H51+1000*$G51+100-$A51,10000*$H51+1000*(10-$G51)+100-$A51)</f>
        <v>10058</v>
      </c>
      <c r="AH51" s="257">
        <f aca="true" t="shared" si="38" ref="AH51:AQ51">IF(AG51=AG$68,-1,AG51)</f>
        <v>10058</v>
      </c>
      <c r="AI51" s="257">
        <f t="shared" si="38"/>
        <v>10058</v>
      </c>
      <c r="AJ51" s="257">
        <f t="shared" si="38"/>
        <v>10058</v>
      </c>
      <c r="AK51" s="257">
        <f t="shared" si="38"/>
        <v>10058</v>
      </c>
      <c r="AL51" s="257">
        <f t="shared" si="38"/>
        <v>10058</v>
      </c>
      <c r="AM51" s="257">
        <f t="shared" si="38"/>
        <v>10058</v>
      </c>
      <c r="AN51" s="257">
        <f t="shared" si="38"/>
        <v>10058</v>
      </c>
      <c r="AO51" s="257">
        <f t="shared" si="38"/>
        <v>10058</v>
      </c>
      <c r="AP51" s="257">
        <f t="shared" si="38"/>
        <v>10058</v>
      </c>
      <c r="AQ51" s="257">
        <f t="shared" si="38"/>
        <v>10058</v>
      </c>
      <c r="AR51" s="257">
        <f t="shared" si="33"/>
        <v>10058</v>
      </c>
      <c r="AS51" s="257">
        <f t="shared" si="33"/>
        <v>10058</v>
      </c>
      <c r="AT51" s="257">
        <f t="shared" si="33"/>
        <v>10058</v>
      </c>
      <c r="AU51" s="257">
        <f t="shared" si="33"/>
        <v>10058</v>
      </c>
      <c r="AV51" s="30"/>
      <c r="AW51" s="55"/>
      <c r="AX51" s="256"/>
      <c r="AY51" s="256"/>
      <c r="AZ51" s="256"/>
      <c r="BA51" s="31"/>
      <c r="BB51" s="32"/>
      <c r="BC51" s="32"/>
      <c r="BD51" s="142">
        <f>IF(AND(AB51&gt;0,AB51&lt;13),G51,0)</f>
        <v>0</v>
      </c>
      <c r="BE51" s="143">
        <f>IF(AND(AB51&gt;0,AB51&lt;13),H51*F51,0)</f>
        <v>0</v>
      </c>
      <c r="BF51" s="143">
        <f>AF51*AC51</f>
        <v>0</v>
      </c>
      <c r="BG51" s="215">
        <f>IF(AND(G51&lt;&gt;BF51,BF51&gt;0),"x","")</f>
      </c>
      <c r="BH51" s="143">
        <f>H51*BF51</f>
        <v>0</v>
      </c>
      <c r="BI51" s="34"/>
    </row>
    <row r="52" spans="1:61" ht="14.25" customHeight="1">
      <c r="A52" s="50">
        <v>43</v>
      </c>
      <c r="B52" s="110">
        <v>5</v>
      </c>
      <c r="C52" s="38" t="s">
        <v>83</v>
      </c>
      <c r="D52" s="38"/>
      <c r="E52" s="26" t="s">
        <v>84</v>
      </c>
      <c r="F52" s="27">
        <v>3</v>
      </c>
      <c r="G52" s="28">
        <f t="shared" si="1"/>
        <v>0</v>
      </c>
      <c r="H52" s="117"/>
      <c r="I52" s="114"/>
      <c r="J52" s="142">
        <f>IF(ISNA(HLOOKUP(K52,T1a,2,0)),0,HLOOKUP(K52,T1a,2,0))</f>
        <v>0</v>
      </c>
      <c r="K52" s="193">
        <f>10000*$H52+1000*$G52+100-$A52</f>
        <v>57</v>
      </c>
      <c r="L52" s="193">
        <f aca="true" t="shared" si="39" ref="L52:Q52">IF(K52=K$68,-1,K52)</f>
        <v>57</v>
      </c>
      <c r="M52" s="193">
        <f t="shared" si="39"/>
        <v>57</v>
      </c>
      <c r="N52" s="193">
        <f t="shared" si="39"/>
        <v>57</v>
      </c>
      <c r="O52" s="193">
        <f t="shared" si="39"/>
        <v>57</v>
      </c>
      <c r="P52" s="193">
        <f t="shared" si="39"/>
        <v>57</v>
      </c>
      <c r="Q52" s="193">
        <f t="shared" si="39"/>
        <v>57</v>
      </c>
      <c r="R52" s="29"/>
      <c r="S52" s="257"/>
      <c r="T52" s="257"/>
      <c r="U52" s="257"/>
      <c r="V52" s="29"/>
      <c r="W52" s="257"/>
      <c r="X52" s="257"/>
      <c r="Y52" s="257"/>
      <c r="Z52" s="257"/>
      <c r="AA52" s="257"/>
      <c r="AB52" s="260"/>
      <c r="AC52" s="192">
        <f t="shared" si="9"/>
        <v>0</v>
      </c>
      <c r="AD52" s="240"/>
      <c r="AE52" s="240"/>
      <c r="AF52" s="206"/>
      <c r="AG52" s="257"/>
      <c r="AH52" s="193">
        <f aca="true" t="shared" si="40" ref="AH52:AQ52">IF(AG52=AG$68,-1,AG52)</f>
        <v>0</v>
      </c>
      <c r="AI52" s="193">
        <f t="shared" si="40"/>
        <v>0</v>
      </c>
      <c r="AJ52" s="193">
        <f t="shared" si="40"/>
        <v>0</v>
      </c>
      <c r="AK52" s="193">
        <f t="shared" si="40"/>
        <v>0</v>
      </c>
      <c r="AL52" s="193">
        <f t="shared" si="40"/>
        <v>0</v>
      </c>
      <c r="AM52" s="193">
        <f t="shared" si="40"/>
        <v>0</v>
      </c>
      <c r="AN52" s="193">
        <f t="shared" si="40"/>
        <v>0</v>
      </c>
      <c r="AO52" s="193">
        <f t="shared" si="40"/>
        <v>0</v>
      </c>
      <c r="AP52" s="193">
        <f t="shared" si="40"/>
        <v>0</v>
      </c>
      <c r="AQ52" s="193">
        <f t="shared" si="40"/>
        <v>0</v>
      </c>
      <c r="AR52" s="193"/>
      <c r="AS52" s="193"/>
      <c r="AT52" s="193"/>
      <c r="AU52" s="193">
        <f>IF(AQ52=AQ$68,-1,AQ52)</f>
        <v>0</v>
      </c>
      <c r="AV52" s="30"/>
      <c r="AW52" s="55"/>
      <c r="AX52" s="256"/>
      <c r="AY52" s="256"/>
      <c r="AZ52" s="256"/>
      <c r="BA52" s="143">
        <f>IF(J52&gt;0,H52,0)</f>
        <v>0</v>
      </c>
      <c r="BB52" s="32"/>
      <c r="BC52" s="32"/>
      <c r="BD52" s="31"/>
      <c r="BE52" s="32"/>
      <c r="BF52" s="32"/>
      <c r="BG52" s="32"/>
      <c r="BH52" s="33">
        <f t="shared" si="30"/>
      </c>
      <c r="BI52" s="34"/>
    </row>
    <row r="53" spans="1:61" ht="14.25" customHeight="1">
      <c r="A53" s="50">
        <v>44</v>
      </c>
      <c r="B53" s="110">
        <v>5</v>
      </c>
      <c r="C53" s="38" t="s">
        <v>85</v>
      </c>
      <c r="D53" s="38"/>
      <c r="E53" s="26" t="s">
        <v>86</v>
      </c>
      <c r="F53" s="27">
        <v>2</v>
      </c>
      <c r="G53" s="28">
        <f t="shared" si="1"/>
        <v>0</v>
      </c>
      <c r="H53" s="117"/>
      <c r="I53" s="114"/>
      <c r="J53" s="282"/>
      <c r="K53" s="193"/>
      <c r="L53" s="193"/>
      <c r="M53" s="193"/>
      <c r="N53" s="193"/>
      <c r="O53" s="193"/>
      <c r="P53" s="193"/>
      <c r="Q53" s="193"/>
      <c r="R53" s="29"/>
      <c r="S53" s="257"/>
      <c r="T53" s="257"/>
      <c r="U53" s="257"/>
      <c r="V53" s="143">
        <f>IF(ISNA(HLOOKUP(W53,ARa,2,0)),0,HLOOKUP(W53,ARa,2,0))</f>
        <v>0</v>
      </c>
      <c r="W53" s="257">
        <f>10000*$H53+1000*$G53+100-$A53</f>
        <v>56</v>
      </c>
      <c r="X53" s="257">
        <f>IF(W53=W$68,-1,W53)</f>
        <v>56</v>
      </c>
      <c r="Y53" s="257">
        <f>IF(X53=X$68,-1,X53)</f>
        <v>56</v>
      </c>
      <c r="Z53" s="257">
        <f>IF(Y53=Y$68,-1,Y53)</f>
        <v>56</v>
      </c>
      <c r="AA53" s="257">
        <f>IF(Z53=Z$68,-1,Z53)</f>
        <v>56</v>
      </c>
      <c r="AB53" s="260"/>
      <c r="AC53" s="192">
        <f t="shared" si="9"/>
        <v>0</v>
      </c>
      <c r="AD53" s="240"/>
      <c r="AE53" s="240"/>
      <c r="AF53" s="206"/>
      <c r="AG53" s="257"/>
      <c r="AH53" s="193">
        <f aca="true" t="shared" si="41" ref="AH53:AQ53">IF(AG53=AG$68,-1,AG53)</f>
        <v>0</v>
      </c>
      <c r="AI53" s="193">
        <f t="shared" si="41"/>
        <v>0</v>
      </c>
      <c r="AJ53" s="193">
        <f t="shared" si="41"/>
        <v>0</v>
      </c>
      <c r="AK53" s="193">
        <f t="shared" si="41"/>
        <v>0</v>
      </c>
      <c r="AL53" s="193">
        <f t="shared" si="41"/>
        <v>0</v>
      </c>
      <c r="AM53" s="193">
        <f t="shared" si="41"/>
        <v>0</v>
      </c>
      <c r="AN53" s="193">
        <f t="shared" si="41"/>
        <v>0</v>
      </c>
      <c r="AO53" s="193">
        <f t="shared" si="41"/>
        <v>0</v>
      </c>
      <c r="AP53" s="193">
        <f t="shared" si="41"/>
        <v>0</v>
      </c>
      <c r="AQ53" s="193">
        <f t="shared" si="41"/>
        <v>0</v>
      </c>
      <c r="AR53" s="193"/>
      <c r="AS53" s="193"/>
      <c r="AT53" s="193"/>
      <c r="AU53" s="193">
        <f>IF(AQ53=AQ$68,-1,AQ53)</f>
        <v>0</v>
      </c>
      <c r="AV53" s="30"/>
      <c r="AW53" s="55"/>
      <c r="AX53" s="256"/>
      <c r="AY53" s="256"/>
      <c r="AZ53" s="256"/>
      <c r="BA53" s="31"/>
      <c r="BB53" s="32"/>
      <c r="BC53" s="143">
        <f>IF(V53&gt;0,H53,0)</f>
        <v>0</v>
      </c>
      <c r="BD53" s="31"/>
      <c r="BE53" s="32"/>
      <c r="BF53" s="32"/>
      <c r="BG53" s="32"/>
      <c r="BH53" s="33">
        <f t="shared" si="30"/>
      </c>
      <c r="BI53" s="34"/>
    </row>
    <row r="54" spans="1:61" ht="14.25" customHeight="1">
      <c r="A54" s="50">
        <v>45</v>
      </c>
      <c r="B54" s="111">
        <v>5</v>
      </c>
      <c r="C54" s="39" t="s">
        <v>87</v>
      </c>
      <c r="D54" s="39"/>
      <c r="E54" s="26" t="s">
        <v>88</v>
      </c>
      <c r="F54" s="27">
        <v>2</v>
      </c>
      <c r="G54" s="28">
        <f t="shared" si="1"/>
        <v>0</v>
      </c>
      <c r="H54" s="118"/>
      <c r="I54" s="114"/>
      <c r="J54" s="142">
        <f>IF(ISNA(HLOOKUP(K54,T1a,2,0)),0,HLOOKUP(K54,T1a,2,0))</f>
        <v>0</v>
      </c>
      <c r="K54" s="193">
        <f>10000*$H54+1000*$G54+100-$A54</f>
        <v>55</v>
      </c>
      <c r="L54" s="193">
        <f aca="true" t="shared" si="42" ref="L54:Q54">IF(K54=K$68,-1,K54)</f>
        <v>55</v>
      </c>
      <c r="M54" s="193">
        <f t="shared" si="42"/>
        <v>55</v>
      </c>
      <c r="N54" s="193">
        <f t="shared" si="42"/>
        <v>55</v>
      </c>
      <c r="O54" s="193">
        <f t="shared" si="42"/>
        <v>55</v>
      </c>
      <c r="P54" s="193">
        <f t="shared" si="42"/>
        <v>55</v>
      </c>
      <c r="Q54" s="193">
        <f t="shared" si="42"/>
        <v>55</v>
      </c>
      <c r="R54" s="29"/>
      <c r="S54" s="257"/>
      <c r="T54" s="257"/>
      <c r="U54" s="257"/>
      <c r="V54" s="37"/>
      <c r="W54" s="257"/>
      <c r="X54" s="257"/>
      <c r="Y54" s="257"/>
      <c r="Z54" s="257"/>
      <c r="AA54" s="257"/>
      <c r="AB54" s="260"/>
      <c r="AC54" s="192">
        <f t="shared" si="9"/>
        <v>0</v>
      </c>
      <c r="AD54" s="240"/>
      <c r="AE54" s="240"/>
      <c r="AF54" s="206"/>
      <c r="AG54" s="257"/>
      <c r="AH54" s="193">
        <f aca="true" t="shared" si="43" ref="AH54:AQ54">IF(AG54=AG$68,-1,AG54)</f>
        <v>0</v>
      </c>
      <c r="AI54" s="193">
        <f t="shared" si="43"/>
        <v>0</v>
      </c>
      <c r="AJ54" s="193">
        <f t="shared" si="43"/>
        <v>0</v>
      </c>
      <c r="AK54" s="193">
        <f t="shared" si="43"/>
        <v>0</v>
      </c>
      <c r="AL54" s="193">
        <f t="shared" si="43"/>
        <v>0</v>
      </c>
      <c r="AM54" s="193">
        <f t="shared" si="43"/>
        <v>0</v>
      </c>
      <c r="AN54" s="193">
        <f t="shared" si="43"/>
        <v>0</v>
      </c>
      <c r="AO54" s="193">
        <f t="shared" si="43"/>
        <v>0</v>
      </c>
      <c r="AP54" s="193">
        <f t="shared" si="43"/>
        <v>0</v>
      </c>
      <c r="AQ54" s="193">
        <f t="shared" si="43"/>
        <v>0</v>
      </c>
      <c r="AR54" s="193"/>
      <c r="AS54" s="193"/>
      <c r="AT54" s="193"/>
      <c r="AU54" s="193">
        <f>IF(AQ54=AQ$68,-1,AQ54)</f>
        <v>0</v>
      </c>
      <c r="AV54" s="30"/>
      <c r="AW54" s="55"/>
      <c r="AX54" s="256"/>
      <c r="AY54" s="256"/>
      <c r="AZ54" s="256"/>
      <c r="BA54" s="143">
        <f>IF(J54&gt;0,H54,0)</f>
        <v>0</v>
      </c>
      <c r="BB54" s="32"/>
      <c r="BC54" s="32"/>
      <c r="BD54" s="31"/>
      <c r="BE54" s="32"/>
      <c r="BF54" s="32"/>
      <c r="BG54" s="32"/>
      <c r="BH54" s="33">
        <f t="shared" si="30"/>
      </c>
      <c r="BI54" s="34"/>
    </row>
    <row r="55" spans="1:61" ht="14.25" customHeight="1">
      <c r="A55" s="50">
        <v>46</v>
      </c>
      <c r="B55" s="111">
        <v>5</v>
      </c>
      <c r="C55" s="39" t="s">
        <v>89</v>
      </c>
      <c r="D55" s="39"/>
      <c r="E55" s="26" t="s">
        <v>90</v>
      </c>
      <c r="F55" s="27">
        <v>6</v>
      </c>
      <c r="G55" s="28">
        <f t="shared" si="1"/>
        <v>0</v>
      </c>
      <c r="H55" s="118"/>
      <c r="I55" s="114"/>
      <c r="J55" s="282"/>
      <c r="K55" s="193"/>
      <c r="L55" s="193"/>
      <c r="M55" s="193"/>
      <c r="N55" s="193"/>
      <c r="O55" s="193"/>
      <c r="P55" s="193"/>
      <c r="Q55" s="193"/>
      <c r="R55" s="143">
        <f>IF(ISNA(HLOOKUP(S55,T2a,2,0)),0,HLOOKUP(S55,T2a,2,0))</f>
        <v>0</v>
      </c>
      <c r="S55" s="257">
        <f>10000*$H55+1000*$G55+100-$A55</f>
        <v>54</v>
      </c>
      <c r="T55" s="257">
        <f>IF(S55=S$68,-1,S55)</f>
        <v>54</v>
      </c>
      <c r="U55" s="257">
        <f>IF(T55=T$68,-1,T55)</f>
        <v>54</v>
      </c>
      <c r="V55" s="29"/>
      <c r="W55" s="257"/>
      <c r="X55" s="257"/>
      <c r="Y55" s="257"/>
      <c r="Z55" s="257"/>
      <c r="AA55" s="257"/>
      <c r="AB55" s="260"/>
      <c r="AC55" s="192">
        <f t="shared" si="9"/>
        <v>0</v>
      </c>
      <c r="AD55" s="240"/>
      <c r="AE55" s="240"/>
      <c r="AF55" s="206"/>
      <c r="AG55" s="193"/>
      <c r="AH55" s="193"/>
      <c r="AI55" s="193"/>
      <c r="AJ55" s="193"/>
      <c r="AK55" s="193"/>
      <c r="AL55" s="193"/>
      <c r="AM55" s="193"/>
      <c r="AN55" s="193"/>
      <c r="AO55" s="193"/>
      <c r="AP55" s="193"/>
      <c r="AQ55" s="193"/>
      <c r="AR55" s="193"/>
      <c r="AS55" s="193"/>
      <c r="AT55" s="193"/>
      <c r="AU55" s="193"/>
      <c r="AV55" s="30"/>
      <c r="AW55" s="55"/>
      <c r="AX55" s="256"/>
      <c r="AY55" s="256"/>
      <c r="AZ55" s="256"/>
      <c r="BA55" s="31"/>
      <c r="BB55" s="143">
        <f>IF(R55&gt;0,H55,0)</f>
        <v>0</v>
      </c>
      <c r="BC55" s="32"/>
      <c r="BD55" s="31"/>
      <c r="BE55" s="32"/>
      <c r="BF55" s="32"/>
      <c r="BG55" s="32"/>
      <c r="BH55" s="33">
        <f t="shared" si="30"/>
      </c>
      <c r="BI55" s="34"/>
    </row>
    <row r="56" spans="1:61" ht="14.25" customHeight="1">
      <c r="A56" s="50">
        <v>47</v>
      </c>
      <c r="B56" s="111">
        <v>5</v>
      </c>
      <c r="C56" s="39" t="s">
        <v>91</v>
      </c>
      <c r="D56" s="39"/>
      <c r="E56" s="64" t="s">
        <v>92</v>
      </c>
      <c r="F56" s="65">
        <v>0</v>
      </c>
      <c r="G56" s="66">
        <f t="shared" si="1"/>
        <v>0</v>
      </c>
      <c r="H56" s="118"/>
      <c r="I56" s="114"/>
      <c r="J56" s="282"/>
      <c r="K56" s="193"/>
      <c r="L56" s="193"/>
      <c r="M56" s="193"/>
      <c r="N56" s="193"/>
      <c r="O56" s="193"/>
      <c r="P56" s="193"/>
      <c r="Q56" s="193"/>
      <c r="R56" s="29"/>
      <c r="S56" s="257"/>
      <c r="T56" s="257"/>
      <c r="U56" s="257"/>
      <c r="V56" s="29"/>
      <c r="W56" s="257"/>
      <c r="X56" s="257"/>
      <c r="Y56" s="257"/>
      <c r="Z56" s="257"/>
      <c r="AA56" s="257"/>
      <c r="AB56" s="260"/>
      <c r="AC56" s="192">
        <f t="shared" si="9"/>
        <v>0</v>
      </c>
      <c r="AD56" s="240"/>
      <c r="AE56" s="240"/>
      <c r="AF56" s="206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3"/>
      <c r="AR56" s="193"/>
      <c r="AS56" s="193"/>
      <c r="AT56" s="193"/>
      <c r="AU56" s="193"/>
      <c r="AV56" s="30"/>
      <c r="AW56" s="55"/>
      <c r="AX56" s="256"/>
      <c r="AY56" s="256"/>
      <c r="AZ56" s="256"/>
      <c r="BA56" s="31"/>
      <c r="BB56" s="71"/>
      <c r="BC56" s="32"/>
      <c r="BD56" s="31"/>
      <c r="BE56" s="32"/>
      <c r="BF56" s="32"/>
      <c r="BG56" s="32"/>
      <c r="BH56" s="33">
        <f t="shared" si="30"/>
      </c>
      <c r="BI56" s="34"/>
    </row>
    <row r="57" spans="1:61" ht="14.25" customHeight="1">
      <c r="A57" s="50">
        <v>48</v>
      </c>
      <c r="B57" s="111">
        <v>5</v>
      </c>
      <c r="C57" s="39" t="s">
        <v>149</v>
      </c>
      <c r="D57" s="39"/>
      <c r="E57" s="26" t="s">
        <v>123</v>
      </c>
      <c r="F57" s="27">
        <v>0</v>
      </c>
      <c r="G57" s="28">
        <f t="shared" si="1"/>
        <v>0</v>
      </c>
      <c r="H57" s="118"/>
      <c r="I57" s="114"/>
      <c r="J57" s="282"/>
      <c r="K57" s="193"/>
      <c r="L57" s="193"/>
      <c r="M57" s="193"/>
      <c r="N57" s="193"/>
      <c r="O57" s="193"/>
      <c r="P57" s="193"/>
      <c r="Q57" s="193"/>
      <c r="R57" s="29"/>
      <c r="S57" s="257"/>
      <c r="T57" s="257"/>
      <c r="U57" s="257"/>
      <c r="V57" s="29"/>
      <c r="W57" s="257"/>
      <c r="X57" s="257"/>
      <c r="Y57" s="257"/>
      <c r="Z57" s="257"/>
      <c r="AA57" s="257"/>
      <c r="AB57" s="260"/>
      <c r="AC57" s="192">
        <f t="shared" si="9"/>
        <v>0</v>
      </c>
      <c r="AD57" s="240"/>
      <c r="AE57" s="240"/>
      <c r="AF57" s="206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3"/>
      <c r="AS57" s="193"/>
      <c r="AT57" s="193"/>
      <c r="AU57" s="193"/>
      <c r="AV57" s="30"/>
      <c r="AW57" s="55"/>
      <c r="AX57" s="256"/>
      <c r="AY57" s="256"/>
      <c r="AZ57" s="256"/>
      <c r="BA57" s="31"/>
      <c r="BB57" s="32"/>
      <c r="BC57" s="32"/>
      <c r="BD57" s="31"/>
      <c r="BE57" s="32"/>
      <c r="BF57" s="32"/>
      <c r="BG57" s="32"/>
      <c r="BH57" s="33">
        <f t="shared" si="30"/>
      </c>
      <c r="BI57" s="34"/>
    </row>
    <row r="58" spans="1:61" ht="14.25" customHeight="1" thickBot="1">
      <c r="A58" s="50">
        <v>49</v>
      </c>
      <c r="B58" s="131">
        <v>5</v>
      </c>
      <c r="C58" s="221" t="s">
        <v>150</v>
      </c>
      <c r="D58" s="40"/>
      <c r="E58" s="41" t="s">
        <v>93</v>
      </c>
      <c r="F58" s="42">
        <v>0</v>
      </c>
      <c r="G58" s="43">
        <f t="shared" si="1"/>
        <v>0</v>
      </c>
      <c r="H58" s="119"/>
      <c r="I58" s="120"/>
      <c r="J58" s="284"/>
      <c r="K58" s="193"/>
      <c r="L58" s="193"/>
      <c r="M58" s="193"/>
      <c r="N58" s="193"/>
      <c r="O58" s="193"/>
      <c r="P58" s="193"/>
      <c r="Q58" s="193"/>
      <c r="R58" s="222"/>
      <c r="S58" s="257"/>
      <c r="T58" s="257"/>
      <c r="U58" s="257"/>
      <c r="V58" s="44"/>
      <c r="W58" s="257"/>
      <c r="X58" s="257"/>
      <c r="Y58" s="257"/>
      <c r="Z58" s="257"/>
      <c r="AA58" s="257"/>
      <c r="AB58" s="262"/>
      <c r="AC58" s="192">
        <f t="shared" si="9"/>
        <v>0</v>
      </c>
      <c r="AD58" s="240"/>
      <c r="AE58" s="240"/>
      <c r="AF58" s="206"/>
      <c r="AG58" s="193"/>
      <c r="AH58" s="193"/>
      <c r="AI58" s="193"/>
      <c r="AJ58" s="193"/>
      <c r="AK58" s="193"/>
      <c r="AL58" s="193"/>
      <c r="AM58" s="193"/>
      <c r="AN58" s="193"/>
      <c r="AO58" s="193"/>
      <c r="AP58" s="193"/>
      <c r="AQ58" s="193"/>
      <c r="AR58" s="193"/>
      <c r="AS58" s="193"/>
      <c r="AT58" s="193"/>
      <c r="AU58" s="193"/>
      <c r="AV58" s="349"/>
      <c r="AW58" s="55"/>
      <c r="AX58" s="256"/>
      <c r="AY58" s="256"/>
      <c r="AZ58" s="256"/>
      <c r="BA58" s="46"/>
      <c r="BB58" s="47"/>
      <c r="BC58" s="49"/>
      <c r="BD58" s="267"/>
      <c r="BE58" s="223"/>
      <c r="BF58" s="223"/>
      <c r="BG58" s="223"/>
      <c r="BH58" s="48">
        <f t="shared" si="30"/>
      </c>
      <c r="BI58" s="49"/>
    </row>
    <row r="59" spans="1:61" ht="14.25" customHeight="1">
      <c r="A59" s="239">
        <v>50</v>
      </c>
      <c r="B59" s="109">
        <v>6</v>
      </c>
      <c r="C59" s="36" t="s">
        <v>175</v>
      </c>
      <c r="D59" s="36"/>
      <c r="E59" s="52" t="s">
        <v>184</v>
      </c>
      <c r="F59" s="53">
        <v>4</v>
      </c>
      <c r="G59" s="54">
        <f t="shared" si="1"/>
        <v>0</v>
      </c>
      <c r="H59" s="116"/>
      <c r="I59" s="122"/>
      <c r="J59" s="292"/>
      <c r="K59" s="193"/>
      <c r="L59" s="193"/>
      <c r="M59" s="193"/>
      <c r="N59" s="193"/>
      <c r="O59" s="193"/>
      <c r="P59" s="193"/>
      <c r="Q59" s="193"/>
      <c r="R59" s="240"/>
      <c r="S59" s="257"/>
      <c r="T59" s="257"/>
      <c r="U59" s="257"/>
      <c r="V59" s="55"/>
      <c r="W59" s="257"/>
      <c r="X59" s="257"/>
      <c r="Y59" s="257"/>
      <c r="Z59" s="257"/>
      <c r="AA59" s="257"/>
      <c r="AB59" s="286">
        <f aca="true" t="shared" si="44" ref="AB59:AB67">IF(ISNA(HLOOKUP(AG59,M1a,2,0)),0,HLOOKUP(AG59,M1a,2,0))</f>
        <v>0</v>
      </c>
      <c r="AC59" s="192">
        <f t="shared" si="9"/>
        <v>0</v>
      </c>
      <c r="AD59" s="213">
        <f aca="true" t="shared" si="45" ref="AD59:AD67">H59</f>
        <v>0</v>
      </c>
      <c r="AE59" s="240"/>
      <c r="AF59" s="214">
        <f aca="true" t="shared" si="46" ref="AF59:AF67">IF(ISNA(HLOOKUP(AB59,M1ax,7)),0,HLOOKUP(AB59,M1ax,6))</f>
        <v>0</v>
      </c>
      <c r="AG59" s="193">
        <f>IF(AW59&gt;0,AX59,0)</f>
        <v>10050</v>
      </c>
      <c r="AH59" s="257">
        <f>IF(AG59=AG$68,-1,AG59)</f>
        <v>10050</v>
      </c>
      <c r="AI59" s="257">
        <f aca="true" t="shared" si="47" ref="AI59:AQ59">IF(AH59=AH$68,-1,AH59)</f>
        <v>10050</v>
      </c>
      <c r="AJ59" s="257">
        <f t="shared" si="47"/>
        <v>10050</v>
      </c>
      <c r="AK59" s="257">
        <f t="shared" si="47"/>
        <v>10050</v>
      </c>
      <c r="AL59" s="257">
        <f t="shared" si="47"/>
        <v>10050</v>
      </c>
      <c r="AM59" s="257">
        <f t="shared" si="47"/>
        <v>10050</v>
      </c>
      <c r="AN59" s="257">
        <f t="shared" si="47"/>
        <v>10050</v>
      </c>
      <c r="AO59" s="257">
        <f t="shared" si="47"/>
        <v>10050</v>
      </c>
      <c r="AP59" s="257">
        <f t="shared" si="47"/>
        <v>10050</v>
      </c>
      <c r="AQ59" s="257">
        <f t="shared" si="47"/>
        <v>10050</v>
      </c>
      <c r="AR59" s="257">
        <f aca="true" t="shared" si="48" ref="AR59:AU67">IF(AQ59=AQ$68,-1,AQ59)</f>
        <v>10050</v>
      </c>
      <c r="AS59" s="257">
        <f t="shared" si="48"/>
        <v>10050</v>
      </c>
      <c r="AT59" s="257">
        <f t="shared" si="48"/>
        <v>10050</v>
      </c>
      <c r="AU59" s="257">
        <f t="shared" si="48"/>
        <v>10050</v>
      </c>
      <c r="AV59" s="271">
        <f>AB59</f>
        <v>0</v>
      </c>
      <c r="AW59" s="240">
        <f aca="true" t="shared" si="49" ref="AW59:AW67">IF(ISNA(HLOOKUP(AX59,M2a,2,0)),0,HLOOKUP(AX59,M2a,2,0))</f>
        <v>1</v>
      </c>
      <c r="AX59" s="257">
        <f aca="true" t="shared" si="50" ref="AX59:AX67">IF($H59&gt;osztalyzat,10000*$H59+1000*$G59+100-$A59,10000*$H59+1000*(10-$G59)+100-$A59)</f>
        <v>10050</v>
      </c>
      <c r="AY59" s="257">
        <f aca="true" t="shared" si="51" ref="AY59:AZ67">IF(AX59=AX$68,-1,AX59)</f>
        <v>-1</v>
      </c>
      <c r="AZ59" s="257">
        <f t="shared" si="51"/>
        <v>-1</v>
      </c>
      <c r="BA59" s="9"/>
      <c r="BB59" s="9"/>
      <c r="BC59" s="245"/>
      <c r="BD59" s="142">
        <f aca="true" t="shared" si="52" ref="BD59:BD67">IF(AND(AV59&gt;0,AV59&lt;13),G59,0)</f>
        <v>0</v>
      </c>
      <c r="BE59" s="143">
        <f aca="true" t="shared" si="53" ref="BE59:BE67">IF(AND(AV59&gt;0,AV59&lt;13),H59*F59,0)</f>
        <v>0</v>
      </c>
      <c r="BF59" s="143">
        <f aca="true" t="shared" si="54" ref="BF59:BF67">AF59*AC59</f>
        <v>0</v>
      </c>
      <c r="BG59" s="215">
        <f aca="true" t="shared" si="55" ref="BG59:BG67">IF(AND(G59&lt;&gt;BF59,BF59&gt;0),"x","")</f>
      </c>
      <c r="BH59" s="143">
        <f aca="true" t="shared" si="56" ref="BH59:BH67">H59*BF59</f>
        <v>0</v>
      </c>
      <c r="BI59" s="58"/>
    </row>
    <row r="60" spans="1:61" ht="14.25" customHeight="1">
      <c r="A60" s="50">
        <v>51</v>
      </c>
      <c r="B60" s="109">
        <v>6</v>
      </c>
      <c r="C60" s="36" t="s">
        <v>176</v>
      </c>
      <c r="D60" s="36"/>
      <c r="E60" s="26" t="s">
        <v>185</v>
      </c>
      <c r="F60" s="27">
        <v>2</v>
      </c>
      <c r="G60" s="28">
        <f t="shared" si="1"/>
        <v>0</v>
      </c>
      <c r="H60" s="116"/>
      <c r="I60" s="114"/>
      <c r="J60" s="282"/>
      <c r="K60" s="193"/>
      <c r="L60" s="193"/>
      <c r="M60" s="193"/>
      <c r="N60" s="193"/>
      <c r="O60" s="193"/>
      <c r="P60" s="193"/>
      <c r="Q60" s="193"/>
      <c r="R60" s="129"/>
      <c r="S60" s="257"/>
      <c r="T60" s="257"/>
      <c r="U60" s="257"/>
      <c r="V60" s="29"/>
      <c r="W60" s="257"/>
      <c r="X60" s="257"/>
      <c r="Y60" s="257"/>
      <c r="Z60" s="257"/>
      <c r="AA60" s="257"/>
      <c r="AB60" s="286">
        <f t="shared" si="44"/>
        <v>0</v>
      </c>
      <c r="AC60" s="192">
        <f t="shared" si="9"/>
        <v>0</v>
      </c>
      <c r="AD60" s="213">
        <f t="shared" si="45"/>
        <v>0</v>
      </c>
      <c r="AE60" s="240"/>
      <c r="AF60" s="214">
        <f t="shared" si="46"/>
        <v>0</v>
      </c>
      <c r="AG60" s="193">
        <f aca="true" t="shared" si="57" ref="AG60:AG67">IF(AW60&gt;0,AX60,0)</f>
        <v>10049</v>
      </c>
      <c r="AH60" s="257">
        <f aca="true" t="shared" si="58" ref="AH60:AQ60">IF(AG60=AG$68,-1,AG60)</f>
        <v>10049</v>
      </c>
      <c r="AI60" s="257">
        <f t="shared" si="58"/>
        <v>10049</v>
      </c>
      <c r="AJ60" s="257">
        <f t="shared" si="58"/>
        <v>10049</v>
      </c>
      <c r="AK60" s="257">
        <f t="shared" si="58"/>
        <v>10049</v>
      </c>
      <c r="AL60" s="257">
        <f t="shared" si="58"/>
        <v>10049</v>
      </c>
      <c r="AM60" s="257">
        <f t="shared" si="58"/>
        <v>10049</v>
      </c>
      <c r="AN60" s="257">
        <f t="shared" si="58"/>
        <v>10049</v>
      </c>
      <c r="AO60" s="257">
        <f t="shared" si="58"/>
        <v>10049</v>
      </c>
      <c r="AP60" s="257">
        <f t="shared" si="58"/>
        <v>10049</v>
      </c>
      <c r="AQ60" s="257">
        <f t="shared" si="58"/>
        <v>10049</v>
      </c>
      <c r="AR60" s="257">
        <f t="shared" si="48"/>
        <v>10049</v>
      </c>
      <c r="AS60" s="257">
        <f t="shared" si="48"/>
        <v>10049</v>
      </c>
      <c r="AT60" s="257">
        <f t="shared" si="48"/>
        <v>10049</v>
      </c>
      <c r="AU60" s="257">
        <f t="shared" si="48"/>
        <v>10049</v>
      </c>
      <c r="AV60" s="261">
        <f aca="true" t="shared" si="59" ref="AV60:AV67">AB60</f>
        <v>0</v>
      </c>
      <c r="AW60" s="240">
        <f t="shared" si="49"/>
        <v>2</v>
      </c>
      <c r="AX60" s="257">
        <f t="shared" si="50"/>
        <v>10049</v>
      </c>
      <c r="AY60" s="257">
        <f t="shared" si="51"/>
        <v>10049</v>
      </c>
      <c r="AZ60" s="257">
        <f aca="true" t="shared" si="60" ref="AZ60:AZ67">IF(AY60=AY$68,-1,AY60)</f>
        <v>-1</v>
      </c>
      <c r="BA60" s="32"/>
      <c r="BB60" s="32"/>
      <c r="BC60" s="33"/>
      <c r="BD60" s="142">
        <f t="shared" si="52"/>
        <v>0</v>
      </c>
      <c r="BE60" s="143">
        <f t="shared" si="53"/>
        <v>0</v>
      </c>
      <c r="BF60" s="143">
        <f t="shared" si="54"/>
        <v>0</v>
      </c>
      <c r="BG60" s="215">
        <f t="shared" si="55"/>
      </c>
      <c r="BH60" s="143">
        <f t="shared" si="56"/>
        <v>0</v>
      </c>
      <c r="BI60" s="33"/>
    </row>
    <row r="61" spans="1:61" ht="14.25" customHeight="1">
      <c r="A61" s="50">
        <v>52</v>
      </c>
      <c r="B61" s="109">
        <v>6</v>
      </c>
      <c r="C61" s="36" t="s">
        <v>177</v>
      </c>
      <c r="D61" s="36"/>
      <c r="E61" s="67" t="s">
        <v>186</v>
      </c>
      <c r="F61" s="68">
        <v>4</v>
      </c>
      <c r="G61" s="69">
        <f t="shared" si="1"/>
        <v>0</v>
      </c>
      <c r="H61" s="116"/>
      <c r="I61" s="124"/>
      <c r="J61" s="283"/>
      <c r="K61" s="193"/>
      <c r="L61" s="193"/>
      <c r="M61" s="193"/>
      <c r="N61" s="193"/>
      <c r="O61" s="193"/>
      <c r="P61" s="193"/>
      <c r="Q61" s="193"/>
      <c r="R61" s="70"/>
      <c r="S61" s="257"/>
      <c r="T61" s="257"/>
      <c r="U61" s="257"/>
      <c r="V61" s="37"/>
      <c r="W61" s="257"/>
      <c r="X61" s="257"/>
      <c r="Y61" s="257"/>
      <c r="Z61" s="257"/>
      <c r="AA61" s="257"/>
      <c r="AB61" s="286">
        <f t="shared" si="44"/>
        <v>0</v>
      </c>
      <c r="AC61" s="192">
        <f t="shared" si="9"/>
        <v>0</v>
      </c>
      <c r="AD61" s="213">
        <f t="shared" si="45"/>
        <v>0</v>
      </c>
      <c r="AE61" s="240"/>
      <c r="AF61" s="214">
        <f t="shared" si="46"/>
        <v>0</v>
      </c>
      <c r="AG61" s="193">
        <f t="shared" si="57"/>
        <v>10048</v>
      </c>
      <c r="AH61" s="257">
        <f aca="true" t="shared" si="61" ref="AH61:AQ61">IF(AG61=AG$68,-1,AG61)</f>
        <v>10048</v>
      </c>
      <c r="AI61" s="257">
        <f t="shared" si="61"/>
        <v>10048</v>
      </c>
      <c r="AJ61" s="257">
        <f t="shared" si="61"/>
        <v>10048</v>
      </c>
      <c r="AK61" s="257">
        <f t="shared" si="61"/>
        <v>10048</v>
      </c>
      <c r="AL61" s="257">
        <f t="shared" si="61"/>
        <v>10048</v>
      </c>
      <c r="AM61" s="257">
        <f t="shared" si="61"/>
        <v>10048</v>
      </c>
      <c r="AN61" s="257">
        <f t="shared" si="61"/>
        <v>10048</v>
      </c>
      <c r="AO61" s="257">
        <f t="shared" si="61"/>
        <v>10048</v>
      </c>
      <c r="AP61" s="257">
        <f t="shared" si="61"/>
        <v>10048</v>
      </c>
      <c r="AQ61" s="257">
        <f t="shared" si="61"/>
        <v>10048</v>
      </c>
      <c r="AR61" s="257">
        <f t="shared" si="48"/>
        <v>10048</v>
      </c>
      <c r="AS61" s="257">
        <f t="shared" si="48"/>
        <v>10048</v>
      </c>
      <c r="AT61" s="257">
        <f t="shared" si="48"/>
        <v>10048</v>
      </c>
      <c r="AU61" s="257">
        <f t="shared" si="48"/>
        <v>10048</v>
      </c>
      <c r="AV61" s="261">
        <f t="shared" si="59"/>
        <v>0</v>
      </c>
      <c r="AW61" s="240">
        <f t="shared" si="49"/>
        <v>3</v>
      </c>
      <c r="AX61" s="257">
        <f t="shared" si="50"/>
        <v>10048</v>
      </c>
      <c r="AY61" s="257">
        <f t="shared" si="51"/>
        <v>10048</v>
      </c>
      <c r="AZ61" s="257">
        <f t="shared" si="60"/>
        <v>10048</v>
      </c>
      <c r="BA61" s="71"/>
      <c r="BB61" s="71"/>
      <c r="BC61" s="72"/>
      <c r="BD61" s="142">
        <f t="shared" si="52"/>
        <v>0</v>
      </c>
      <c r="BE61" s="143">
        <f t="shared" si="53"/>
        <v>0</v>
      </c>
      <c r="BF61" s="143">
        <f t="shared" si="54"/>
        <v>0</v>
      </c>
      <c r="BG61" s="215">
        <f t="shared" si="55"/>
      </c>
      <c r="BH61" s="143">
        <f t="shared" si="56"/>
        <v>0</v>
      </c>
      <c r="BI61" s="72"/>
    </row>
    <row r="62" spans="1:61" ht="14.25" customHeight="1" thickBot="1">
      <c r="A62" s="184">
        <v>53</v>
      </c>
      <c r="B62" s="248">
        <v>6</v>
      </c>
      <c r="C62" s="249" t="s">
        <v>178</v>
      </c>
      <c r="D62" s="249"/>
      <c r="E62" s="41" t="s">
        <v>187</v>
      </c>
      <c r="F62" s="42">
        <v>6</v>
      </c>
      <c r="G62" s="255">
        <f t="shared" si="1"/>
        <v>0</v>
      </c>
      <c r="H62" s="253"/>
      <c r="I62" s="120"/>
      <c r="J62" s="284"/>
      <c r="K62" s="193"/>
      <c r="L62" s="193"/>
      <c r="M62" s="193"/>
      <c r="N62" s="193"/>
      <c r="O62" s="193"/>
      <c r="P62" s="193"/>
      <c r="Q62" s="193"/>
      <c r="R62" s="222"/>
      <c r="S62" s="257"/>
      <c r="T62" s="257"/>
      <c r="U62" s="257"/>
      <c r="V62" s="44"/>
      <c r="W62" s="257"/>
      <c r="X62" s="257"/>
      <c r="Y62" s="257"/>
      <c r="Z62" s="257"/>
      <c r="AA62" s="257"/>
      <c r="AB62" s="285">
        <f t="shared" si="44"/>
        <v>0</v>
      </c>
      <c r="AC62" s="192">
        <f t="shared" si="9"/>
        <v>0</v>
      </c>
      <c r="AD62" s="213">
        <f t="shared" si="45"/>
        <v>0</v>
      </c>
      <c r="AE62" s="240"/>
      <c r="AF62" s="214">
        <f t="shared" si="46"/>
        <v>0</v>
      </c>
      <c r="AG62" s="193">
        <f t="shared" si="57"/>
        <v>0</v>
      </c>
      <c r="AH62" s="257">
        <f aca="true" t="shared" si="62" ref="AH62:AQ62">IF(AG62=AG$68,-1,AG62)</f>
        <v>0</v>
      </c>
      <c r="AI62" s="257">
        <f t="shared" si="62"/>
        <v>0</v>
      </c>
      <c r="AJ62" s="257">
        <f t="shared" si="62"/>
        <v>0</v>
      </c>
      <c r="AK62" s="257">
        <f t="shared" si="62"/>
        <v>0</v>
      </c>
      <c r="AL62" s="257">
        <f t="shared" si="62"/>
        <v>0</v>
      </c>
      <c r="AM62" s="257">
        <f t="shared" si="62"/>
        <v>0</v>
      </c>
      <c r="AN62" s="257">
        <f t="shared" si="62"/>
        <v>0</v>
      </c>
      <c r="AO62" s="257">
        <f t="shared" si="62"/>
        <v>0</v>
      </c>
      <c r="AP62" s="257">
        <f t="shared" si="62"/>
        <v>0</v>
      </c>
      <c r="AQ62" s="257">
        <f t="shared" si="62"/>
        <v>0</v>
      </c>
      <c r="AR62" s="257">
        <f t="shared" si="48"/>
        <v>0</v>
      </c>
      <c r="AS62" s="257">
        <f t="shared" si="48"/>
        <v>0</v>
      </c>
      <c r="AT62" s="257">
        <f t="shared" si="48"/>
        <v>0</v>
      </c>
      <c r="AU62" s="257">
        <f t="shared" si="48"/>
        <v>0</v>
      </c>
      <c r="AV62" s="264">
        <f t="shared" si="59"/>
        <v>0</v>
      </c>
      <c r="AW62" s="240">
        <f t="shared" si="49"/>
        <v>0</v>
      </c>
      <c r="AX62" s="257">
        <f t="shared" si="50"/>
        <v>10047</v>
      </c>
      <c r="AY62" s="257">
        <f t="shared" si="51"/>
        <v>10047</v>
      </c>
      <c r="AZ62" s="257">
        <f t="shared" si="60"/>
        <v>10047</v>
      </c>
      <c r="BA62" s="47"/>
      <c r="BB62" s="47"/>
      <c r="BC62" s="49"/>
      <c r="BD62" s="268">
        <f t="shared" si="52"/>
        <v>0</v>
      </c>
      <c r="BE62" s="144">
        <f t="shared" si="53"/>
        <v>0</v>
      </c>
      <c r="BF62" s="144">
        <f t="shared" si="54"/>
        <v>0</v>
      </c>
      <c r="BG62" s="360">
        <f t="shared" si="55"/>
      </c>
      <c r="BH62" s="144">
        <f t="shared" si="56"/>
        <v>0</v>
      </c>
      <c r="BI62" s="49"/>
    </row>
    <row r="63" spans="1:61" ht="14.25" customHeight="1">
      <c r="A63" s="50">
        <v>54</v>
      </c>
      <c r="B63" s="246">
        <v>7</v>
      </c>
      <c r="C63" s="247" t="s">
        <v>179</v>
      </c>
      <c r="D63" s="247"/>
      <c r="E63" s="67" t="s">
        <v>188</v>
      </c>
      <c r="F63" s="68">
        <v>3</v>
      </c>
      <c r="G63" s="69">
        <f t="shared" si="1"/>
        <v>0</v>
      </c>
      <c r="H63" s="252"/>
      <c r="I63" s="124"/>
      <c r="J63" s="292"/>
      <c r="K63" s="193"/>
      <c r="L63" s="193"/>
      <c r="M63" s="193"/>
      <c r="N63" s="193"/>
      <c r="O63" s="193"/>
      <c r="P63" s="193"/>
      <c r="Q63" s="193"/>
      <c r="R63" s="70"/>
      <c r="S63" s="257"/>
      <c r="T63" s="257"/>
      <c r="U63" s="257"/>
      <c r="V63" s="37"/>
      <c r="W63" s="257"/>
      <c r="X63" s="257"/>
      <c r="Y63" s="257"/>
      <c r="Z63" s="257"/>
      <c r="AA63" s="257"/>
      <c r="AB63" s="286">
        <f t="shared" si="44"/>
        <v>0</v>
      </c>
      <c r="AC63" s="192">
        <f t="shared" si="9"/>
        <v>0</v>
      </c>
      <c r="AD63" s="213">
        <f t="shared" si="45"/>
        <v>0</v>
      </c>
      <c r="AE63" s="240"/>
      <c r="AF63" s="214">
        <f t="shared" si="46"/>
        <v>0</v>
      </c>
      <c r="AG63" s="193">
        <f t="shared" si="57"/>
        <v>0</v>
      </c>
      <c r="AH63" s="257">
        <f aca="true" t="shared" si="63" ref="AH63:AQ63">IF(AG63=AG$68,-1,AG63)</f>
        <v>0</v>
      </c>
      <c r="AI63" s="257">
        <f t="shared" si="63"/>
        <v>0</v>
      </c>
      <c r="AJ63" s="257">
        <f t="shared" si="63"/>
        <v>0</v>
      </c>
      <c r="AK63" s="257">
        <f t="shared" si="63"/>
        <v>0</v>
      </c>
      <c r="AL63" s="257">
        <f t="shared" si="63"/>
        <v>0</v>
      </c>
      <c r="AM63" s="257">
        <f t="shared" si="63"/>
        <v>0</v>
      </c>
      <c r="AN63" s="257">
        <f t="shared" si="63"/>
        <v>0</v>
      </c>
      <c r="AO63" s="257">
        <f t="shared" si="63"/>
        <v>0</v>
      </c>
      <c r="AP63" s="257">
        <f t="shared" si="63"/>
        <v>0</v>
      </c>
      <c r="AQ63" s="257">
        <f t="shared" si="63"/>
        <v>0</v>
      </c>
      <c r="AR63" s="257">
        <f t="shared" si="48"/>
        <v>0</v>
      </c>
      <c r="AS63" s="257">
        <f t="shared" si="48"/>
        <v>0</v>
      </c>
      <c r="AT63" s="257">
        <f t="shared" si="48"/>
        <v>0</v>
      </c>
      <c r="AU63" s="257">
        <f t="shared" si="48"/>
        <v>0</v>
      </c>
      <c r="AV63" s="271">
        <f t="shared" si="59"/>
        <v>0</v>
      </c>
      <c r="AW63" s="240">
        <f t="shared" si="49"/>
        <v>0</v>
      </c>
      <c r="AX63" s="257">
        <f t="shared" si="50"/>
        <v>10046</v>
      </c>
      <c r="AY63" s="257">
        <f t="shared" si="51"/>
        <v>10046</v>
      </c>
      <c r="AZ63" s="257">
        <f t="shared" si="60"/>
        <v>10046</v>
      </c>
      <c r="BA63" s="71"/>
      <c r="BB63" s="71"/>
      <c r="BC63" s="72"/>
      <c r="BD63" s="266">
        <f t="shared" si="52"/>
        <v>0</v>
      </c>
      <c r="BE63" s="185">
        <f t="shared" si="53"/>
        <v>0</v>
      </c>
      <c r="BF63" s="185">
        <f t="shared" si="54"/>
        <v>0</v>
      </c>
      <c r="BG63" s="359">
        <f t="shared" si="55"/>
      </c>
      <c r="BH63" s="185">
        <f t="shared" si="56"/>
        <v>0</v>
      </c>
      <c r="BI63" s="72"/>
    </row>
    <row r="64" spans="1:61" ht="14.25" customHeight="1">
      <c r="A64" s="50">
        <v>55</v>
      </c>
      <c r="B64" s="109">
        <v>7</v>
      </c>
      <c r="C64" s="36" t="s">
        <v>180</v>
      </c>
      <c r="D64" s="36"/>
      <c r="E64" s="67" t="s">
        <v>189</v>
      </c>
      <c r="F64" s="68">
        <v>4</v>
      </c>
      <c r="G64" s="69">
        <f t="shared" si="1"/>
        <v>0</v>
      </c>
      <c r="H64" s="116"/>
      <c r="I64" s="124"/>
      <c r="J64" s="282"/>
      <c r="K64" s="193"/>
      <c r="L64" s="193"/>
      <c r="M64" s="193"/>
      <c r="N64" s="193"/>
      <c r="O64" s="193"/>
      <c r="P64" s="193"/>
      <c r="Q64" s="193"/>
      <c r="R64" s="70"/>
      <c r="S64" s="257"/>
      <c r="T64" s="257"/>
      <c r="U64" s="257"/>
      <c r="V64" s="37"/>
      <c r="W64" s="257"/>
      <c r="X64" s="257"/>
      <c r="Y64" s="257"/>
      <c r="Z64" s="257"/>
      <c r="AA64" s="257"/>
      <c r="AB64" s="286">
        <f t="shared" si="44"/>
        <v>0</v>
      </c>
      <c r="AC64" s="192">
        <f t="shared" si="9"/>
        <v>0</v>
      </c>
      <c r="AD64" s="213">
        <f t="shared" si="45"/>
        <v>0</v>
      </c>
      <c r="AE64" s="240"/>
      <c r="AF64" s="214">
        <f t="shared" si="46"/>
        <v>0</v>
      </c>
      <c r="AG64" s="193">
        <f t="shared" si="57"/>
        <v>0</v>
      </c>
      <c r="AH64" s="257">
        <f aca="true" t="shared" si="64" ref="AH64:AQ64">IF(AG64=AG$68,-1,AG64)</f>
        <v>0</v>
      </c>
      <c r="AI64" s="257">
        <f t="shared" si="64"/>
        <v>0</v>
      </c>
      <c r="AJ64" s="257">
        <f t="shared" si="64"/>
        <v>0</v>
      </c>
      <c r="AK64" s="257">
        <f t="shared" si="64"/>
        <v>0</v>
      </c>
      <c r="AL64" s="257">
        <f t="shared" si="64"/>
        <v>0</v>
      </c>
      <c r="AM64" s="257">
        <f t="shared" si="64"/>
        <v>0</v>
      </c>
      <c r="AN64" s="257">
        <f t="shared" si="64"/>
        <v>0</v>
      </c>
      <c r="AO64" s="257">
        <f t="shared" si="64"/>
        <v>0</v>
      </c>
      <c r="AP64" s="257">
        <f t="shared" si="64"/>
        <v>0</v>
      </c>
      <c r="AQ64" s="257">
        <f t="shared" si="64"/>
        <v>0</v>
      </c>
      <c r="AR64" s="257">
        <f t="shared" si="48"/>
        <v>0</v>
      </c>
      <c r="AS64" s="257">
        <f t="shared" si="48"/>
        <v>0</v>
      </c>
      <c r="AT64" s="257">
        <f t="shared" si="48"/>
        <v>0</v>
      </c>
      <c r="AU64" s="257">
        <f t="shared" si="48"/>
        <v>0</v>
      </c>
      <c r="AV64" s="261">
        <f t="shared" si="59"/>
        <v>0</v>
      </c>
      <c r="AW64" s="240">
        <f t="shared" si="49"/>
        <v>0</v>
      </c>
      <c r="AX64" s="257">
        <f t="shared" si="50"/>
        <v>10045</v>
      </c>
      <c r="AY64" s="257">
        <f t="shared" si="51"/>
        <v>10045</v>
      </c>
      <c r="AZ64" s="257">
        <f t="shared" si="60"/>
        <v>10045</v>
      </c>
      <c r="BA64" s="71"/>
      <c r="BB64" s="71"/>
      <c r="BC64" s="72"/>
      <c r="BD64" s="142">
        <f t="shared" si="52"/>
        <v>0</v>
      </c>
      <c r="BE64" s="143">
        <f t="shared" si="53"/>
        <v>0</v>
      </c>
      <c r="BF64" s="143">
        <f t="shared" si="54"/>
        <v>0</v>
      </c>
      <c r="BG64" s="215">
        <f t="shared" si="55"/>
      </c>
      <c r="BH64" s="143">
        <f t="shared" si="56"/>
        <v>0</v>
      </c>
      <c r="BI64" s="72"/>
    </row>
    <row r="65" spans="1:61" ht="14.25" customHeight="1">
      <c r="A65" s="50">
        <v>56</v>
      </c>
      <c r="B65" s="109">
        <v>7</v>
      </c>
      <c r="C65" s="36" t="s">
        <v>181</v>
      </c>
      <c r="D65" s="36"/>
      <c r="E65" s="67" t="s">
        <v>190</v>
      </c>
      <c r="F65" s="68">
        <v>4</v>
      </c>
      <c r="G65" s="69">
        <f t="shared" si="1"/>
        <v>0</v>
      </c>
      <c r="H65" s="116"/>
      <c r="I65" s="124"/>
      <c r="J65" s="282"/>
      <c r="K65" s="193"/>
      <c r="L65" s="193"/>
      <c r="M65" s="193"/>
      <c r="N65" s="193"/>
      <c r="O65" s="193"/>
      <c r="P65" s="193"/>
      <c r="Q65" s="193"/>
      <c r="R65" s="70"/>
      <c r="S65" s="257"/>
      <c r="T65" s="257"/>
      <c r="U65" s="257"/>
      <c r="V65" s="37"/>
      <c r="W65" s="257"/>
      <c r="X65" s="257"/>
      <c r="Y65" s="257"/>
      <c r="Z65" s="257"/>
      <c r="AA65" s="257"/>
      <c r="AB65" s="286">
        <f t="shared" si="44"/>
        <v>0</v>
      </c>
      <c r="AC65" s="192">
        <f t="shared" si="9"/>
        <v>0</v>
      </c>
      <c r="AD65" s="213">
        <f t="shared" si="45"/>
        <v>0</v>
      </c>
      <c r="AE65" s="240"/>
      <c r="AF65" s="214">
        <f t="shared" si="46"/>
        <v>0</v>
      </c>
      <c r="AG65" s="193">
        <f t="shared" si="57"/>
        <v>0</v>
      </c>
      <c r="AH65" s="257">
        <f aca="true" t="shared" si="65" ref="AH65:AQ65">IF(AG65=AG$68,-1,AG65)</f>
        <v>0</v>
      </c>
      <c r="AI65" s="257">
        <f t="shared" si="65"/>
        <v>0</v>
      </c>
      <c r="AJ65" s="257">
        <f t="shared" si="65"/>
        <v>0</v>
      </c>
      <c r="AK65" s="257">
        <f t="shared" si="65"/>
        <v>0</v>
      </c>
      <c r="AL65" s="257">
        <f t="shared" si="65"/>
        <v>0</v>
      </c>
      <c r="AM65" s="257">
        <f t="shared" si="65"/>
        <v>0</v>
      </c>
      <c r="AN65" s="257">
        <f t="shared" si="65"/>
        <v>0</v>
      </c>
      <c r="AO65" s="257">
        <f t="shared" si="65"/>
        <v>0</v>
      </c>
      <c r="AP65" s="257">
        <f t="shared" si="65"/>
        <v>0</v>
      </c>
      <c r="AQ65" s="257">
        <f t="shared" si="65"/>
        <v>0</v>
      </c>
      <c r="AR65" s="257">
        <f t="shared" si="48"/>
        <v>0</v>
      </c>
      <c r="AS65" s="257">
        <f t="shared" si="48"/>
        <v>0</v>
      </c>
      <c r="AT65" s="257">
        <f t="shared" si="48"/>
        <v>0</v>
      </c>
      <c r="AU65" s="257">
        <f t="shared" si="48"/>
        <v>0</v>
      </c>
      <c r="AV65" s="261">
        <f t="shared" si="59"/>
        <v>0</v>
      </c>
      <c r="AW65" s="240">
        <f t="shared" si="49"/>
        <v>0</v>
      </c>
      <c r="AX65" s="257">
        <f t="shared" si="50"/>
        <v>10044</v>
      </c>
      <c r="AY65" s="257">
        <f t="shared" si="51"/>
        <v>10044</v>
      </c>
      <c r="AZ65" s="257">
        <f t="shared" si="60"/>
        <v>10044</v>
      </c>
      <c r="BA65" s="71"/>
      <c r="BB65" s="71"/>
      <c r="BC65" s="72"/>
      <c r="BD65" s="142">
        <f t="shared" si="52"/>
        <v>0</v>
      </c>
      <c r="BE65" s="143">
        <f t="shared" si="53"/>
        <v>0</v>
      </c>
      <c r="BF65" s="143">
        <f t="shared" si="54"/>
        <v>0</v>
      </c>
      <c r="BG65" s="215">
        <f t="shared" si="55"/>
      </c>
      <c r="BH65" s="143">
        <f t="shared" si="56"/>
        <v>0</v>
      </c>
      <c r="BI65" s="72"/>
    </row>
    <row r="66" spans="1:61" ht="14.25" customHeight="1" thickBot="1">
      <c r="A66" s="224">
        <v>57</v>
      </c>
      <c r="B66" s="248">
        <v>7</v>
      </c>
      <c r="C66" s="249" t="s">
        <v>182</v>
      </c>
      <c r="D66" s="249"/>
      <c r="E66" s="41" t="s">
        <v>191</v>
      </c>
      <c r="F66" s="42">
        <v>6</v>
      </c>
      <c r="G66" s="255">
        <f t="shared" si="1"/>
        <v>0</v>
      </c>
      <c r="H66" s="253"/>
      <c r="I66" s="120"/>
      <c r="J66" s="284"/>
      <c r="K66" s="193"/>
      <c r="L66" s="193"/>
      <c r="M66" s="193"/>
      <c r="N66" s="193"/>
      <c r="O66" s="193"/>
      <c r="P66" s="193"/>
      <c r="Q66" s="193"/>
      <c r="R66" s="222"/>
      <c r="S66" s="257"/>
      <c r="T66" s="257"/>
      <c r="U66" s="257"/>
      <c r="V66" s="44"/>
      <c r="W66" s="257"/>
      <c r="X66" s="257"/>
      <c r="Y66" s="257"/>
      <c r="Z66" s="257"/>
      <c r="AA66" s="257"/>
      <c r="AB66" s="285">
        <f t="shared" si="44"/>
        <v>0</v>
      </c>
      <c r="AC66" s="192">
        <f t="shared" si="9"/>
        <v>0</v>
      </c>
      <c r="AD66" s="213">
        <f t="shared" si="45"/>
        <v>0</v>
      </c>
      <c r="AE66" s="240"/>
      <c r="AF66" s="214">
        <f t="shared" si="46"/>
        <v>0</v>
      </c>
      <c r="AG66" s="193">
        <f t="shared" si="57"/>
        <v>0</v>
      </c>
      <c r="AH66" s="257">
        <f aca="true" t="shared" si="66" ref="AH66:AQ66">IF(AG66=AG$68,-1,AG66)</f>
        <v>0</v>
      </c>
      <c r="AI66" s="257">
        <f t="shared" si="66"/>
        <v>0</v>
      </c>
      <c r="AJ66" s="257">
        <f t="shared" si="66"/>
        <v>0</v>
      </c>
      <c r="AK66" s="257">
        <f t="shared" si="66"/>
        <v>0</v>
      </c>
      <c r="AL66" s="257">
        <f t="shared" si="66"/>
        <v>0</v>
      </c>
      <c r="AM66" s="257">
        <f t="shared" si="66"/>
        <v>0</v>
      </c>
      <c r="AN66" s="257">
        <f t="shared" si="66"/>
        <v>0</v>
      </c>
      <c r="AO66" s="257">
        <f t="shared" si="66"/>
        <v>0</v>
      </c>
      <c r="AP66" s="257">
        <f t="shared" si="66"/>
        <v>0</v>
      </c>
      <c r="AQ66" s="257">
        <f t="shared" si="66"/>
        <v>0</v>
      </c>
      <c r="AR66" s="257">
        <f t="shared" si="48"/>
        <v>0</v>
      </c>
      <c r="AS66" s="257">
        <f t="shared" si="48"/>
        <v>0</v>
      </c>
      <c r="AT66" s="257">
        <f t="shared" si="48"/>
        <v>0</v>
      </c>
      <c r="AU66" s="257">
        <f t="shared" si="48"/>
        <v>0</v>
      </c>
      <c r="AV66" s="264">
        <f t="shared" si="59"/>
        <v>0</v>
      </c>
      <c r="AW66" s="240">
        <f t="shared" si="49"/>
        <v>0</v>
      </c>
      <c r="AX66" s="257">
        <f t="shared" si="50"/>
        <v>10043</v>
      </c>
      <c r="AY66" s="257">
        <f t="shared" si="51"/>
        <v>10043</v>
      </c>
      <c r="AZ66" s="257">
        <f t="shared" si="60"/>
        <v>10043</v>
      </c>
      <c r="BA66" s="47"/>
      <c r="BB66" s="47"/>
      <c r="BC66" s="49"/>
      <c r="BD66" s="268">
        <f t="shared" si="52"/>
        <v>0</v>
      </c>
      <c r="BE66" s="144">
        <f t="shared" si="53"/>
        <v>0</v>
      </c>
      <c r="BF66" s="144">
        <f t="shared" si="54"/>
        <v>0</v>
      </c>
      <c r="BG66" s="360">
        <f t="shared" si="55"/>
      </c>
      <c r="BH66" s="144">
        <f t="shared" si="56"/>
        <v>0</v>
      </c>
      <c r="BI66" s="49"/>
    </row>
    <row r="67" spans="1:61" ht="14.25" customHeight="1" thickBot="1">
      <c r="A67" s="230">
        <v>58</v>
      </c>
      <c r="B67" s="250">
        <v>9</v>
      </c>
      <c r="C67" s="251" t="s">
        <v>183</v>
      </c>
      <c r="D67" s="251"/>
      <c r="E67" s="231" t="s">
        <v>192</v>
      </c>
      <c r="F67" s="232">
        <v>3</v>
      </c>
      <c r="G67" s="233">
        <f t="shared" si="1"/>
        <v>0</v>
      </c>
      <c r="H67" s="254"/>
      <c r="I67" s="234"/>
      <c r="J67" s="293"/>
      <c r="K67" s="193"/>
      <c r="L67" s="193"/>
      <c r="M67" s="193"/>
      <c r="N67" s="193"/>
      <c r="O67" s="193"/>
      <c r="P67" s="193"/>
      <c r="Q67" s="193"/>
      <c r="R67" s="235"/>
      <c r="S67" s="257"/>
      <c r="T67" s="257"/>
      <c r="U67" s="257"/>
      <c r="V67" s="236"/>
      <c r="W67" s="257"/>
      <c r="X67" s="257"/>
      <c r="Y67" s="257"/>
      <c r="Z67" s="257"/>
      <c r="AA67" s="257"/>
      <c r="AB67" s="331">
        <f t="shared" si="44"/>
        <v>0</v>
      </c>
      <c r="AC67" s="347">
        <f t="shared" si="9"/>
        <v>0</v>
      </c>
      <c r="AD67" s="348">
        <f t="shared" si="45"/>
        <v>0</v>
      </c>
      <c r="AE67" s="70"/>
      <c r="AF67" s="214">
        <f t="shared" si="46"/>
        <v>0</v>
      </c>
      <c r="AG67" s="243">
        <f t="shared" si="57"/>
        <v>0</v>
      </c>
      <c r="AH67" s="244">
        <f aca="true" t="shared" si="67" ref="AH67:AQ67">IF(AG67=AG$68,-1,AG67)</f>
        <v>0</v>
      </c>
      <c r="AI67" s="244">
        <f t="shared" si="67"/>
        <v>0</v>
      </c>
      <c r="AJ67" s="244">
        <f t="shared" si="67"/>
        <v>0</v>
      </c>
      <c r="AK67" s="244">
        <f t="shared" si="67"/>
        <v>0</v>
      </c>
      <c r="AL67" s="244">
        <f t="shared" si="67"/>
        <v>0</v>
      </c>
      <c r="AM67" s="244">
        <f t="shared" si="67"/>
        <v>0</v>
      </c>
      <c r="AN67" s="244">
        <f t="shared" si="67"/>
        <v>0</v>
      </c>
      <c r="AO67" s="244">
        <f t="shared" si="67"/>
        <v>0</v>
      </c>
      <c r="AP67" s="244">
        <f t="shared" si="67"/>
        <v>0</v>
      </c>
      <c r="AQ67" s="244">
        <f t="shared" si="67"/>
        <v>0</v>
      </c>
      <c r="AR67" s="244">
        <f t="shared" si="48"/>
        <v>0</v>
      </c>
      <c r="AS67" s="244">
        <f t="shared" si="48"/>
        <v>0</v>
      </c>
      <c r="AT67" s="244">
        <f t="shared" si="48"/>
        <v>0</v>
      </c>
      <c r="AU67" s="244">
        <f t="shared" si="48"/>
        <v>0</v>
      </c>
      <c r="AV67" s="350">
        <f t="shared" si="59"/>
        <v>0</v>
      </c>
      <c r="AW67" s="70">
        <f t="shared" si="49"/>
        <v>0</v>
      </c>
      <c r="AX67" s="257">
        <f t="shared" si="50"/>
        <v>10042</v>
      </c>
      <c r="AY67" s="257">
        <f t="shared" si="51"/>
        <v>10042</v>
      </c>
      <c r="AZ67" s="257">
        <f t="shared" si="60"/>
        <v>10042</v>
      </c>
      <c r="BA67" s="237"/>
      <c r="BB67" s="237"/>
      <c r="BC67" s="238"/>
      <c r="BD67" s="269">
        <f t="shared" si="52"/>
        <v>0</v>
      </c>
      <c r="BE67" s="270">
        <f t="shared" si="53"/>
        <v>0</v>
      </c>
      <c r="BF67" s="185">
        <f t="shared" si="54"/>
        <v>0</v>
      </c>
      <c r="BG67" s="359">
        <f t="shared" si="55"/>
      </c>
      <c r="BH67" s="185">
        <f t="shared" si="56"/>
        <v>0</v>
      </c>
      <c r="BI67" s="238"/>
    </row>
    <row r="68" spans="1:61" s="80" customFormat="1" ht="14.25" customHeight="1" outlineLevel="1">
      <c r="A68" s="102"/>
      <c r="B68" s="73"/>
      <c r="C68" s="83" t="s">
        <v>94</v>
      </c>
      <c r="D68" s="83"/>
      <c r="E68" s="84"/>
      <c r="F68" s="85"/>
      <c r="G68" s="85"/>
      <c r="H68" s="85"/>
      <c r="I68" s="85"/>
      <c r="J68" s="275"/>
      <c r="K68" s="294">
        <f aca="true" t="shared" si="68" ref="K68:Q68">MAX(K10:K58)</f>
        <v>94</v>
      </c>
      <c r="L68" s="294">
        <f t="shared" si="68"/>
        <v>92</v>
      </c>
      <c r="M68" s="294">
        <f t="shared" si="68"/>
        <v>86</v>
      </c>
      <c r="N68" s="294">
        <f t="shared" si="68"/>
        <v>84</v>
      </c>
      <c r="O68" s="294">
        <f t="shared" si="68"/>
        <v>77</v>
      </c>
      <c r="P68" s="294">
        <f t="shared" si="68"/>
        <v>75</v>
      </c>
      <c r="Q68" s="294">
        <f t="shared" si="68"/>
        <v>68</v>
      </c>
      <c r="R68" s="73"/>
      <c r="S68" s="295">
        <f>MAX(S10:S58)</f>
        <v>91</v>
      </c>
      <c r="T68" s="295">
        <f>MAX(T10:T58)</f>
        <v>83</v>
      </c>
      <c r="U68" s="295">
        <f>MAX(U10:U58)</f>
        <v>74</v>
      </c>
      <c r="V68" s="73"/>
      <c r="W68" s="295">
        <f>MAX(W10:W58)</f>
        <v>97</v>
      </c>
      <c r="X68" s="295">
        <f>MAX(X10:X58)</f>
        <v>93</v>
      </c>
      <c r="Y68" s="295">
        <f>MAX(Y10:Y58)</f>
        <v>89</v>
      </c>
      <c r="Z68" s="295">
        <f>MAX(Z10:Z58)</f>
        <v>85</v>
      </c>
      <c r="AA68" s="295">
        <f>MAX(AA10:AA58)</f>
        <v>76</v>
      </c>
      <c r="AB68" s="73"/>
      <c r="AC68" s="73"/>
      <c r="AD68" s="87"/>
      <c r="AE68" s="87"/>
      <c r="AF68" s="358" t="s">
        <v>161</v>
      </c>
      <c r="AG68" s="225">
        <f>MAX(AG10:AG67)</f>
        <v>10099</v>
      </c>
      <c r="AH68" s="225">
        <f aca="true" t="shared" si="69" ref="AH68:AQ68">MAX(AH10:AH67)</f>
        <v>10097</v>
      </c>
      <c r="AI68" s="225">
        <f t="shared" si="69"/>
        <v>10096</v>
      </c>
      <c r="AJ68" s="225">
        <f t="shared" si="69"/>
        <v>10095</v>
      </c>
      <c r="AK68" s="225">
        <f t="shared" si="69"/>
        <v>10090</v>
      </c>
      <c r="AL68" s="225">
        <f t="shared" si="69"/>
        <v>10089</v>
      </c>
      <c r="AM68" s="225">
        <f t="shared" si="69"/>
        <v>10088</v>
      </c>
      <c r="AN68" s="225">
        <f t="shared" si="69"/>
        <v>10087</v>
      </c>
      <c r="AO68" s="225">
        <f t="shared" si="69"/>
        <v>10082</v>
      </c>
      <c r="AP68" s="225">
        <f t="shared" si="69"/>
        <v>10081</v>
      </c>
      <c r="AQ68" s="225">
        <f t="shared" si="69"/>
        <v>10080</v>
      </c>
      <c r="AR68" s="225">
        <f>MAX(AR10:AR67)</f>
        <v>10079</v>
      </c>
      <c r="AS68" s="225">
        <f>MAX(AS10:AS67)</f>
        <v>10078</v>
      </c>
      <c r="AT68" s="225">
        <f>MAX(AT10:AT67)</f>
        <v>10072</v>
      </c>
      <c r="AU68" s="225">
        <f>MAX(AU10:AU67)</f>
        <v>10071</v>
      </c>
      <c r="AV68" s="351"/>
      <c r="AW68" s="273"/>
      <c r="AX68" s="276">
        <f>MAX(AX59:AX67)</f>
        <v>10050</v>
      </c>
      <c r="AY68" s="277">
        <f>MAX(AY59:AY67)</f>
        <v>10049</v>
      </c>
      <c r="AZ68" s="278">
        <f>MAX(AZ59:AZ67)</f>
        <v>10048</v>
      </c>
      <c r="BA68" s="227"/>
      <c r="BB68" s="78"/>
      <c r="BC68" s="78"/>
      <c r="BD68" s="272">
        <f>SUM(BD10:BD67)</f>
        <v>0</v>
      </c>
      <c r="BE68" s="228">
        <f>SUM(BE10:BE67)</f>
        <v>0</v>
      </c>
      <c r="BF68" s="228">
        <f>SUM(BF10:BF67)</f>
        <v>0</v>
      </c>
      <c r="BG68" s="228"/>
      <c r="BH68" s="228">
        <f>SUM(BH10:BH67)</f>
        <v>0</v>
      </c>
      <c r="BI68" s="229">
        <f>MAX(BI10:BI58)</f>
        <v>0</v>
      </c>
    </row>
    <row r="69" spans="1:61" s="80" customFormat="1" ht="14.25" customHeight="1" outlineLevel="1">
      <c r="A69" s="103"/>
      <c r="B69" s="77"/>
      <c r="C69" s="74" t="s">
        <v>100</v>
      </c>
      <c r="D69" s="74"/>
      <c r="E69" s="75"/>
      <c r="F69" s="76"/>
      <c r="G69" s="76"/>
      <c r="H69" s="76"/>
      <c r="I69" s="76"/>
      <c r="J69" s="296"/>
      <c r="K69" s="294">
        <v>1</v>
      </c>
      <c r="L69" s="294">
        <v>2</v>
      </c>
      <c r="M69" s="294">
        <v>3</v>
      </c>
      <c r="N69" s="294">
        <v>4</v>
      </c>
      <c r="O69" s="294">
        <v>5</v>
      </c>
      <c r="P69" s="294">
        <v>6</v>
      </c>
      <c r="Q69" s="294">
        <v>7</v>
      </c>
      <c r="R69" s="77"/>
      <c r="S69" s="295">
        <v>1</v>
      </c>
      <c r="T69" s="295">
        <v>2</v>
      </c>
      <c r="U69" s="295">
        <v>3</v>
      </c>
      <c r="V69" s="77"/>
      <c r="W69" s="295">
        <v>1</v>
      </c>
      <c r="X69" s="295">
        <v>2</v>
      </c>
      <c r="Y69" s="295">
        <v>3</v>
      </c>
      <c r="Z69" s="295">
        <v>4</v>
      </c>
      <c r="AA69" s="295">
        <v>5</v>
      </c>
      <c r="AB69" s="77"/>
      <c r="AC69" s="77"/>
      <c r="AD69" s="87"/>
      <c r="AE69" s="87"/>
      <c r="AF69" s="210" t="s">
        <v>160</v>
      </c>
      <c r="AG69" s="194">
        <v>1</v>
      </c>
      <c r="AH69" s="195">
        <v>2</v>
      </c>
      <c r="AI69" s="195">
        <v>3</v>
      </c>
      <c r="AJ69" s="195">
        <v>4</v>
      </c>
      <c r="AK69" s="195">
        <v>5</v>
      </c>
      <c r="AL69" s="195">
        <v>6</v>
      </c>
      <c r="AM69" s="195">
        <v>7</v>
      </c>
      <c r="AN69" s="195">
        <v>8</v>
      </c>
      <c r="AO69" s="195">
        <v>9</v>
      </c>
      <c r="AP69" s="195">
        <v>10</v>
      </c>
      <c r="AQ69" s="195">
        <v>11</v>
      </c>
      <c r="AR69" s="195">
        <v>12</v>
      </c>
      <c r="AS69" s="195">
        <v>13</v>
      </c>
      <c r="AT69" s="195">
        <v>14</v>
      </c>
      <c r="AU69" s="195">
        <v>15</v>
      </c>
      <c r="AV69" s="352"/>
      <c r="AW69" s="274"/>
      <c r="AX69" s="194">
        <v>1</v>
      </c>
      <c r="AY69" s="195">
        <v>2</v>
      </c>
      <c r="AZ69" s="196">
        <v>3</v>
      </c>
      <c r="BA69" s="316">
        <f>IF(SUM(T1jegyek)&gt;0,SUM(T1jegyek)/COUNTIF(T1jegyek,"&gt;0"),0)</f>
        <v>0</v>
      </c>
      <c r="BB69" s="317">
        <f>IF(SUM(T2jegyek)&gt;0,SUM(T2jegyek)/COUNTIF(T2jegyek,"&gt;0"),0)</f>
        <v>0</v>
      </c>
      <c r="BC69" s="318">
        <f>IF(SUM(ARjegyek)&gt;0,SUM(ARjegyek)/COUNTIF(ARjegyek,"&gt;0"),0)</f>
        <v>0</v>
      </c>
      <c r="BD69" s="81"/>
      <c r="BE69" s="136">
        <f>IF(BD68&lt;&gt;0,BE68/BD68,0)</f>
        <v>0</v>
      </c>
      <c r="BF69" s="82"/>
      <c r="BG69" s="82"/>
      <c r="BH69" s="136">
        <f>IF(BF68&lt;&gt;0,BH68/BF68,0)</f>
        <v>0</v>
      </c>
      <c r="BI69" s="79"/>
    </row>
    <row r="70" spans="1:61" s="80" customFormat="1" ht="14.25" customHeight="1" outlineLevel="1">
      <c r="A70" s="102"/>
      <c r="B70" s="73"/>
      <c r="C70" s="83" t="s">
        <v>99</v>
      </c>
      <c r="D70" s="83"/>
      <c r="E70" s="84"/>
      <c r="F70" s="85"/>
      <c r="G70" s="76"/>
      <c r="H70" s="76"/>
      <c r="I70" s="76"/>
      <c r="J70" s="296"/>
      <c r="K70" s="217"/>
      <c r="L70" s="217"/>
      <c r="M70" s="217"/>
      <c r="N70" s="217"/>
      <c r="O70" s="217"/>
      <c r="P70" s="217"/>
      <c r="Q70" s="217"/>
      <c r="R70" s="73"/>
      <c r="S70" s="297"/>
      <c r="T70" s="297"/>
      <c r="U70" s="297"/>
      <c r="V70" s="73"/>
      <c r="W70" s="297"/>
      <c r="X70" s="297"/>
      <c r="Y70" s="297"/>
      <c r="Z70" s="297"/>
      <c r="AA70" s="297"/>
      <c r="AB70" s="73"/>
      <c r="AC70" s="77"/>
      <c r="AD70" s="102"/>
      <c r="AE70" s="354"/>
      <c r="AF70" s="298" t="s">
        <v>159</v>
      </c>
      <c r="AG70" s="197">
        <f aca="true" t="shared" si="70" ref="AG70:AQ70">VLOOKUP(AG69,M1sorrendkredit,2,FALSE)</f>
        <v>0</v>
      </c>
      <c r="AH70" s="198">
        <f t="shared" si="70"/>
        <v>0</v>
      </c>
      <c r="AI70" s="198">
        <f t="shared" si="70"/>
        <v>0</v>
      </c>
      <c r="AJ70" s="198">
        <f t="shared" si="70"/>
        <v>0</v>
      </c>
      <c r="AK70" s="198">
        <f t="shared" si="70"/>
        <v>0</v>
      </c>
      <c r="AL70" s="198">
        <f t="shared" si="70"/>
        <v>0</v>
      </c>
      <c r="AM70" s="198">
        <f t="shared" si="70"/>
        <v>0</v>
      </c>
      <c r="AN70" s="198">
        <f t="shared" si="70"/>
        <v>0</v>
      </c>
      <c r="AO70" s="198">
        <f t="shared" si="70"/>
        <v>0</v>
      </c>
      <c r="AP70" s="198">
        <f t="shared" si="70"/>
        <v>0</v>
      </c>
      <c r="AQ70" s="198">
        <f t="shared" si="70"/>
        <v>0</v>
      </c>
      <c r="AR70" s="198">
        <f>VLOOKUP(AR69,M1sorrendkredit,2,FALSE)</f>
        <v>0</v>
      </c>
      <c r="AS70" s="198">
        <f>VLOOKUP(AS69,M1sorrendkredit,2,FALSE)</f>
        <v>0</v>
      </c>
      <c r="AT70" s="198">
        <f>VLOOKUP(AT69,M1sorrendkredit,2,FALSE)</f>
        <v>0</v>
      </c>
      <c r="AU70" s="198">
        <f>VLOOKUP(AU69,M1sorrendkredit,2,FALSE)</f>
        <v>0</v>
      </c>
      <c r="AV70" s="352"/>
      <c r="AW70" s="226"/>
      <c r="AX70" s="279"/>
      <c r="AY70" s="280"/>
      <c r="AZ70" s="281"/>
      <c r="BA70" s="134">
        <f>BA69*3</f>
        <v>0</v>
      </c>
      <c r="BB70" s="135">
        <f>BB69*6</f>
        <v>0</v>
      </c>
      <c r="BC70" s="135">
        <f>BC69*3</f>
        <v>0</v>
      </c>
      <c r="BD70" s="86">
        <f>COUNTIF(BD10:BD67,"&gt;0")</f>
        <v>0</v>
      </c>
      <c r="BE70" s="77"/>
      <c r="BF70" s="94">
        <f>COUNTIF(BF10:BF58,"&gt;0")</f>
        <v>0</v>
      </c>
      <c r="BG70" s="94"/>
      <c r="BH70" s="137">
        <f>BH69*16</f>
        <v>0</v>
      </c>
      <c r="BI70" s="138">
        <f>BI68*4</f>
        <v>0</v>
      </c>
    </row>
    <row r="71" spans="1:61" ht="14.25" customHeight="1" outlineLevel="1">
      <c r="A71" s="87"/>
      <c r="B71" s="106"/>
      <c r="C71" s="340" t="s">
        <v>250</v>
      </c>
      <c r="D71" s="364" t="s">
        <v>218</v>
      </c>
      <c r="E71" s="364"/>
      <c r="F71" s="364"/>
      <c r="G71" s="315">
        <f>SUM(G10:G58)</f>
        <v>0</v>
      </c>
      <c r="I71" s="95"/>
      <c r="AC71" s="209">
        <v>30</v>
      </c>
      <c r="AD71" s="288"/>
      <c r="AE71" s="353">
        <f>LARGE(M1M2jegyek,13)</f>
        <v>0</v>
      </c>
      <c r="AF71" s="355" t="s">
        <v>162</v>
      </c>
      <c r="AG71" s="207">
        <f>IF(((100-MOD(AG68,100))&lt;TantargySorszam),AG70,0)</f>
        <v>0</v>
      </c>
      <c r="AH71" s="199">
        <f aca="true" t="shared" si="71" ref="AH71:AU71">IF((100-MOD(AH$68,100))&lt;TantargySorszam,AG$71+AH$70,AG$71)</f>
        <v>0</v>
      </c>
      <c r="AI71" s="199">
        <f t="shared" si="71"/>
        <v>0</v>
      </c>
      <c r="AJ71" s="199">
        <f t="shared" si="71"/>
        <v>0</v>
      </c>
      <c r="AK71" s="199">
        <f t="shared" si="71"/>
        <v>0</v>
      </c>
      <c r="AL71" s="199">
        <f t="shared" si="71"/>
        <v>0</v>
      </c>
      <c r="AM71" s="199">
        <f t="shared" si="71"/>
        <v>0</v>
      </c>
      <c r="AN71" s="199">
        <f t="shared" si="71"/>
        <v>0</v>
      </c>
      <c r="AO71" s="199">
        <f t="shared" si="71"/>
        <v>0</v>
      </c>
      <c r="AP71" s="199">
        <f t="shared" si="71"/>
        <v>0</v>
      </c>
      <c r="AQ71" s="199">
        <f t="shared" si="71"/>
        <v>0</v>
      </c>
      <c r="AR71" s="199">
        <f t="shared" si="71"/>
        <v>0</v>
      </c>
      <c r="AS71" s="199">
        <f t="shared" si="71"/>
        <v>0</v>
      </c>
      <c r="AT71" s="199">
        <f t="shared" si="71"/>
        <v>0</v>
      </c>
      <c r="AU71" s="200">
        <f t="shared" si="71"/>
        <v>0</v>
      </c>
      <c r="BA71" s="9" t="s">
        <v>102</v>
      </c>
      <c r="BB71" s="9" t="s">
        <v>103</v>
      </c>
      <c r="BC71" s="9" t="s">
        <v>104</v>
      </c>
      <c r="BH71" s="9" t="s">
        <v>195</v>
      </c>
      <c r="BI71" s="9" t="s">
        <v>196</v>
      </c>
    </row>
    <row r="72" spans="1:60" ht="14.25" customHeight="1" outlineLevel="1">
      <c r="A72" s="87"/>
      <c r="B72" s="87"/>
      <c r="C72" s="88"/>
      <c r="D72" s="88"/>
      <c r="E72" s="100"/>
      <c r="F72" s="100"/>
      <c r="G72" s="101"/>
      <c r="I72" s="95"/>
      <c r="K72" s="1" t="s">
        <v>168</v>
      </c>
      <c r="L72" s="1" t="str">
        <f>H10&amp;","&amp;H11&amp;","&amp;H12&amp;","&amp;H13&amp;","&amp;H14&amp;","&amp;H15&amp;","&amp;H16&amp;","&amp;H17&amp;","&amp;H18&amp;","&amp;H19&amp;","&amp;H20&amp;","&amp;H21&amp;","&amp;H22&amp;","&amp;H23&amp;","&amp;H24&amp;","&amp;H25&amp;","&amp;H26&amp;","&amp;H27&amp;","&amp;H28&amp;","&amp;H29&amp;","&amp;H30&amp;","&amp;H31&amp;","&amp;H32&amp;","&amp;H33&amp;","&amp;H34&amp;","&amp;H35&amp;","&amp;H36&amp;","&amp;H37&amp;","&amp;H38&amp;","&amp;H39&amp;","&amp;H40&amp;","&amp;H41&amp;","&amp;H42&amp;","&amp;H43&amp;","&amp;H44&amp;","&amp;H45&amp;","&amp;H46&amp;","&amp;H47&amp;","&amp;H48&amp;","&amp;H49&amp;","&amp;H50&amp;","&amp;H51&amp;","&amp;H52&amp;","&amp;H53&amp;","&amp;H54&amp;","&amp;H55&amp;","&amp;H56&amp;","&amp;H57&amp;","&amp;H58&amp;","&amp;H59&amp;","&amp;H60&amp;","&amp;H61&amp;","&amp;H62&amp;","&amp;H63&amp;","&amp;H64&amp;","&amp;H65&amp;","&amp;H66&amp;","&amp;H67</f>
        <v>,,,,,,,,,,,,,,,,,,,,,,,,,,,,,,,,,,,,,,,,,,,,,,,,,,,,,,,,,</v>
      </c>
      <c r="AC72" s="265">
        <v>59</v>
      </c>
      <c r="AD72" s="289"/>
      <c r="AE72" s="289"/>
      <c r="AF72" s="356" t="s">
        <v>165</v>
      </c>
      <c r="AG72" s="208">
        <f aca="true" t="shared" si="72" ref="AG72:AU72">IF(AND(AG71&lt;(KreditSorrendhez+1),(100-MOD(AG68,100))&lt;TantargySorszam),1,0)</f>
        <v>1</v>
      </c>
      <c r="AH72" s="201">
        <f t="shared" si="72"/>
        <v>1</v>
      </c>
      <c r="AI72" s="201">
        <f t="shared" si="72"/>
        <v>1</v>
      </c>
      <c r="AJ72" s="201">
        <f t="shared" si="72"/>
        <v>1</v>
      </c>
      <c r="AK72" s="201">
        <f t="shared" si="72"/>
        <v>1</v>
      </c>
      <c r="AL72" s="201">
        <f t="shared" si="72"/>
        <v>1</v>
      </c>
      <c r="AM72" s="201">
        <f t="shared" si="72"/>
        <v>1</v>
      </c>
      <c r="AN72" s="201">
        <f t="shared" si="72"/>
        <v>1</v>
      </c>
      <c r="AO72" s="201">
        <f t="shared" si="72"/>
        <v>1</v>
      </c>
      <c r="AP72" s="201">
        <f t="shared" si="72"/>
        <v>1</v>
      </c>
      <c r="AQ72" s="201">
        <f t="shared" si="72"/>
        <v>1</v>
      </c>
      <c r="AR72" s="201">
        <f t="shared" si="72"/>
        <v>1</v>
      </c>
      <c r="AS72" s="201">
        <f t="shared" si="72"/>
        <v>1</v>
      </c>
      <c r="AT72" s="201">
        <f t="shared" si="72"/>
        <v>1</v>
      </c>
      <c r="AU72" s="202">
        <f t="shared" si="72"/>
        <v>1</v>
      </c>
      <c r="BA72" s="9"/>
      <c r="BB72" s="9"/>
      <c r="BC72" s="9"/>
      <c r="BH72" s="9"/>
    </row>
    <row r="73" spans="1:60" ht="14.25" customHeight="1" outlineLevel="1">
      <c r="A73" s="95"/>
      <c r="B73" s="98" t="s">
        <v>102</v>
      </c>
      <c r="C73" s="99" t="s">
        <v>167</v>
      </c>
      <c r="D73" s="151">
        <f>BA70</f>
        <v>0</v>
      </c>
      <c r="E73" s="154">
        <f>BB70</f>
        <v>0</v>
      </c>
      <c r="F73" s="92"/>
      <c r="G73" s="89"/>
      <c r="H73" s="89"/>
      <c r="I73" s="89"/>
      <c r="K73" s="1" t="s">
        <v>169</v>
      </c>
      <c r="L73" s="1" t="str">
        <f>TEXT(D73,"0,00")&amp;"x"&amp;TEXT(D74,"0,00")&amp;"x"&amp;TEXT(D75,"0,00")&amp;"x"&amp;TEXT(D76,"0,00")&amp;"x"&amp;TEXT(D77,"0,00")&amp;"x"&amp;TEXT(D78,"0,00")&amp;"x"&amp;TEXT(F78,"0,00")&amp;"x"&amp;TEXT(D80,"0,00")&amp;"x"&amp;TEXT(D81,"0,00")&amp;"x"&amp;TEXT(F81,"0,00")&amp;"x"&amp;TEXT(D83,"0,00")</f>
        <v>000x000x000x000x000x000x000x000x000x000x000</v>
      </c>
      <c r="AF73" s="357" t="s">
        <v>164</v>
      </c>
      <c r="AG73" s="208">
        <f aca="true" t="shared" si="73" ref="AG73:AU73">IF(AG$70&lt;&gt;0,IF(AG$71&gt;KreditSorrendhez,IF((100-MOD(AG$68,100))&lt;TantargySorszam,1,0)*(KreditSorrendhez-AF$71)/AG$70,0),0)</f>
        <v>0</v>
      </c>
      <c r="AH73" s="201">
        <f t="shared" si="73"/>
        <v>0</v>
      </c>
      <c r="AI73" s="201">
        <f t="shared" si="73"/>
        <v>0</v>
      </c>
      <c r="AJ73" s="201">
        <f t="shared" si="73"/>
        <v>0</v>
      </c>
      <c r="AK73" s="201">
        <f t="shared" si="73"/>
        <v>0</v>
      </c>
      <c r="AL73" s="201">
        <f t="shared" si="73"/>
        <v>0</v>
      </c>
      <c r="AM73" s="201">
        <f t="shared" si="73"/>
        <v>0</v>
      </c>
      <c r="AN73" s="201">
        <f t="shared" si="73"/>
        <v>0</v>
      </c>
      <c r="AO73" s="201">
        <f t="shared" si="73"/>
        <v>0</v>
      </c>
      <c r="AP73" s="201">
        <f t="shared" si="73"/>
        <v>0</v>
      </c>
      <c r="AQ73" s="201">
        <f t="shared" si="73"/>
        <v>0</v>
      </c>
      <c r="AR73" s="201">
        <f t="shared" si="73"/>
        <v>0</v>
      </c>
      <c r="AS73" s="201">
        <f t="shared" si="73"/>
        <v>0</v>
      </c>
      <c r="AT73" s="201">
        <f t="shared" si="73"/>
        <v>0</v>
      </c>
      <c r="AU73" s="202">
        <f t="shared" si="73"/>
        <v>0</v>
      </c>
      <c r="BA73" s="9"/>
      <c r="BB73" s="9"/>
      <c r="BC73" s="9"/>
      <c r="BH73" s="9"/>
    </row>
    <row r="74" spans="1:60" ht="14.25" customHeight="1" outlineLevel="1">
      <c r="A74" s="95"/>
      <c r="B74" s="98" t="s">
        <v>103</v>
      </c>
      <c r="C74" s="99" t="s">
        <v>116</v>
      </c>
      <c r="D74" s="151">
        <f>BB70</f>
        <v>0</v>
      </c>
      <c r="E74" s="154">
        <f>BC70</f>
        <v>0</v>
      </c>
      <c r="F74" s="92"/>
      <c r="G74" s="89"/>
      <c r="H74" s="89"/>
      <c r="I74" s="89"/>
      <c r="N74" s="216" t="str">
        <f>N132</f>
        <v>H10&amp;","&amp;H11&amp;","&amp;H12&amp;","&amp;H13&amp;","&amp;H14&amp;","&amp;H15&amp;","&amp;H16&amp;","&amp;H17&amp;","&amp;H18&amp;","&amp;H19&amp;","&amp;H20&amp;","&amp;H21&amp;","&amp;H22&amp;","&amp;H23&amp;","&amp;H24&amp;","&amp;H25&amp;","&amp;H26&amp;","&amp;H27&amp;","&amp;H28&amp;","&amp;H29&amp;","&amp;H30&amp;","&amp;H31&amp;","&amp;H32&amp;","&amp;H33&amp;","&amp;H34&amp;","&amp;H35&amp;","&amp;H36&amp;","&amp;H37&amp;","&amp;H38&amp;","&amp;H39&amp;","&amp;H40&amp;","&amp;H41&amp;","&amp;H42&amp;","&amp;H43&amp;","&amp;H44&amp;","&amp;H45&amp;","&amp;H46&amp;","&amp;H47&amp;","&amp;H48&amp;","&amp;H49&amp;","&amp;H50&amp;","&amp;H51&amp;","&amp;H52&amp;","&amp;H53&amp;","&amp;H54&amp;","&amp;H55&amp;","&amp;H56&amp;","&amp;H57&amp;","&amp;H58&amp;","&amp;H59&amp;","&amp;H60&amp;","&amp;H61&amp;","&amp;H62&amp;","&amp;H63&amp;","&amp;H64&amp;","&amp;H65&amp;","&amp;H66&amp;","&amp;H67&amp;","&amp;</v>
      </c>
      <c r="AF74" s="211" t="s">
        <v>163</v>
      </c>
      <c r="AG74" s="212">
        <f>IF(AG73&lt;0,0,AG72+AG73)</f>
        <v>1</v>
      </c>
      <c r="AH74" s="203">
        <f aca="true" t="shared" si="74" ref="AH74:AQ74">IF(AH73&lt;0,0,AH72+AH73)</f>
        <v>1</v>
      </c>
      <c r="AI74" s="203">
        <f t="shared" si="74"/>
        <v>1</v>
      </c>
      <c r="AJ74" s="203">
        <f t="shared" si="74"/>
        <v>1</v>
      </c>
      <c r="AK74" s="203">
        <f t="shared" si="74"/>
        <v>1</v>
      </c>
      <c r="AL74" s="203">
        <f t="shared" si="74"/>
        <v>1</v>
      </c>
      <c r="AM74" s="203">
        <f t="shared" si="74"/>
        <v>1</v>
      </c>
      <c r="AN74" s="203">
        <f t="shared" si="74"/>
        <v>1</v>
      </c>
      <c r="AO74" s="203">
        <f t="shared" si="74"/>
        <v>1</v>
      </c>
      <c r="AP74" s="203">
        <f t="shared" si="74"/>
        <v>1</v>
      </c>
      <c r="AQ74" s="203">
        <f t="shared" si="74"/>
        <v>1</v>
      </c>
      <c r="AR74" s="203">
        <f>IF(AR73&lt;0,0,AR72+AR73)</f>
        <v>1</v>
      </c>
      <c r="AS74" s="203">
        <f>IF(AS73&lt;0,0,AS72+AS73)</f>
        <v>1</v>
      </c>
      <c r="AT74" s="203">
        <f>IF(AT73&lt;0,0,AT72+AT73)</f>
        <v>1</v>
      </c>
      <c r="AU74" s="204">
        <f>IF(AU73&lt;0,0,AU72+AU73)</f>
        <v>1</v>
      </c>
      <c r="BA74" s="9"/>
      <c r="BB74" s="9"/>
      <c r="BC74" s="9"/>
      <c r="BH74" s="9"/>
    </row>
    <row r="75" spans="1:14" ht="14.25" customHeight="1" outlineLevel="1">
      <c r="A75" s="95"/>
      <c r="B75" s="98" t="s">
        <v>104</v>
      </c>
      <c r="C75" s="99" t="s">
        <v>112</v>
      </c>
      <c r="D75" s="151">
        <f>BC70</f>
        <v>0</v>
      </c>
      <c r="E75" s="154">
        <f>H56*2</f>
        <v>0</v>
      </c>
      <c r="F75" s="92"/>
      <c r="G75" s="10"/>
      <c r="M75" s="1">
        <v>10</v>
      </c>
      <c r="N75" s="1" t="str">
        <f>"H"&amp;M75&amp;"&amp;"&amp;CHAR(34)&amp;","&amp;CHAR(34)&amp;"&amp;"</f>
        <v>H10&amp;","&amp;</v>
      </c>
    </row>
    <row r="76" spans="1:14" ht="14.25" customHeight="1" outlineLevel="1">
      <c r="A76" s="95"/>
      <c r="B76" s="98" t="s">
        <v>105</v>
      </c>
      <c r="C76" s="99" t="s">
        <v>91</v>
      </c>
      <c r="D76" s="151">
        <f>H56*2</f>
        <v>0</v>
      </c>
      <c r="E76" s="154">
        <f>H57/2.5</f>
        <v>0</v>
      </c>
      <c r="F76" s="92"/>
      <c r="M76" s="1">
        <v>11</v>
      </c>
      <c r="N76" s="1" t="str">
        <f>N75&amp;"H"&amp;M76&amp;"&amp;"&amp;CHAR(34)&amp;","&amp;CHAR(34)&amp;"&amp;"</f>
        <v>H10&amp;","&amp;H11&amp;","&amp;</v>
      </c>
    </row>
    <row r="77" spans="1:14" ht="14.25" customHeight="1" outlineLevel="1">
      <c r="A77" s="95"/>
      <c r="B77" s="98" t="s">
        <v>106</v>
      </c>
      <c r="C77" s="99" t="s">
        <v>142</v>
      </c>
      <c r="D77" s="151">
        <f>H57/5</f>
        <v>0</v>
      </c>
      <c r="E77" s="154">
        <f>H58*0.6</f>
        <v>0</v>
      </c>
      <c r="M77" s="1">
        <v>12</v>
      </c>
      <c r="N77" s="1" t="str">
        <f aca="true" t="shared" si="75" ref="N77:N114">N76&amp;"H"&amp;M77&amp;"&amp;"&amp;CHAR(34)&amp;","&amp;CHAR(34)&amp;"&amp;"</f>
        <v>H10&amp;","&amp;H11&amp;","&amp;H12&amp;","&amp;</v>
      </c>
    </row>
    <row r="78" spans="1:14" ht="14.25" customHeight="1" outlineLevel="1">
      <c r="A78" s="95"/>
      <c r="B78" s="98" t="s">
        <v>107</v>
      </c>
      <c r="C78" s="99" t="s">
        <v>113</v>
      </c>
      <c r="D78" s="151">
        <f>H58*0.4</f>
        <v>0</v>
      </c>
      <c r="E78" s="154"/>
      <c r="F78" s="320">
        <f>SUM(Treszpontok)</f>
        <v>0</v>
      </c>
      <c r="M78" s="1">
        <v>13</v>
      </c>
      <c r="N78" s="1" t="str">
        <f t="shared" si="75"/>
        <v>H10&amp;","&amp;H11&amp;","&amp;H12&amp;","&amp;H13&amp;","&amp;</v>
      </c>
    </row>
    <row r="79" spans="1:14" ht="14.25" customHeight="1" outlineLevel="1">
      <c r="A79" s="5"/>
      <c r="C79" s="4"/>
      <c r="D79" s="4"/>
      <c r="E79" s="154"/>
      <c r="F79" s="92"/>
      <c r="M79" s="1">
        <v>14</v>
      </c>
      <c r="N79" s="1" t="str">
        <f t="shared" si="75"/>
        <v>H10&amp;","&amp;H11&amp;","&amp;H12&amp;","&amp;H13&amp;","&amp;H14&amp;","&amp;</v>
      </c>
    </row>
    <row r="80" spans="1:18" ht="14.25" customHeight="1" outlineLevel="1">
      <c r="A80" s="95"/>
      <c r="B80" s="96" t="s">
        <v>195</v>
      </c>
      <c r="C80" s="97" t="s">
        <v>114</v>
      </c>
      <c r="D80" s="152">
        <f>BH70</f>
        <v>0</v>
      </c>
      <c r="E80" s="155"/>
      <c r="F80" s="93"/>
      <c r="G80" s="89"/>
      <c r="H80" s="89"/>
      <c r="I80" s="89"/>
      <c r="J80" s="89"/>
      <c r="K80" s="2"/>
      <c r="M80" s="1">
        <v>15</v>
      </c>
      <c r="N80" s="1" t="str">
        <f t="shared" si="75"/>
        <v>H10&amp;","&amp;H11&amp;","&amp;H12&amp;","&amp;H13&amp;","&amp;H14&amp;","&amp;H15&amp;","&amp;</v>
      </c>
      <c r="Q80" s="2"/>
      <c r="R80" s="89"/>
    </row>
    <row r="81" spans="1:18" ht="14.25" customHeight="1" outlineLevel="1">
      <c r="A81" s="95"/>
      <c r="B81" s="96" t="s">
        <v>196</v>
      </c>
      <c r="C81" s="97" t="s">
        <v>231</v>
      </c>
      <c r="D81" s="152">
        <f>BI70</f>
        <v>0</v>
      </c>
      <c r="E81" s="155">
        <f>BI70</f>
        <v>0</v>
      </c>
      <c r="F81" s="321">
        <f>SUM(Mreszpontok)</f>
        <v>0</v>
      </c>
      <c r="H81" s="89"/>
      <c r="I81" s="89"/>
      <c r="J81" s="89"/>
      <c r="K81" s="2"/>
      <c r="L81" s="2"/>
      <c r="M81" s="1">
        <v>16</v>
      </c>
      <c r="N81" s="1" t="str">
        <f t="shared" si="75"/>
        <v>H10&amp;","&amp;H11&amp;","&amp;H12&amp;","&amp;H13&amp;","&amp;H14&amp;","&amp;H15&amp;","&amp;H16&amp;","&amp;</v>
      </c>
      <c r="Q81" s="2"/>
      <c r="R81" s="89"/>
    </row>
    <row r="82" spans="1:18" ht="14.25" customHeight="1" outlineLevel="1">
      <c r="A82" s="90"/>
      <c r="B82" s="90"/>
      <c r="C82" s="89"/>
      <c r="D82" s="89"/>
      <c r="E82" s="156"/>
      <c r="F82" s="89"/>
      <c r="G82" s="89"/>
      <c r="H82" s="105"/>
      <c r="I82" s="105"/>
      <c r="J82" s="89"/>
      <c r="K82" s="2"/>
      <c r="L82" s="2"/>
      <c r="M82" s="1">
        <v>17</v>
      </c>
      <c r="N82" s="1" t="str">
        <f t="shared" si="75"/>
        <v>H10&amp;","&amp;H11&amp;","&amp;H12&amp;","&amp;H13&amp;","&amp;H14&amp;","&amp;H15&amp;","&amp;H16&amp;","&amp;H17&amp;","&amp;</v>
      </c>
      <c r="Q82" s="2"/>
      <c r="R82" s="89"/>
    </row>
    <row r="83" spans="1:18" ht="14.25" customHeight="1" outlineLevel="1">
      <c r="A83" s="90"/>
      <c r="B83" s="96"/>
      <c r="C83" s="97" t="s">
        <v>228</v>
      </c>
      <c r="D83" s="321">
        <f>m1atlag</f>
        <v>0</v>
      </c>
      <c r="E83" s="157"/>
      <c r="F83" s="89"/>
      <c r="G83" s="89"/>
      <c r="H83" s="89"/>
      <c r="I83" s="89"/>
      <c r="J83" s="89"/>
      <c r="K83" s="2"/>
      <c r="L83" s="2"/>
      <c r="M83" s="1">
        <v>18</v>
      </c>
      <c r="N83" s="1" t="str">
        <f t="shared" si="75"/>
        <v>H10&amp;","&amp;H11&amp;","&amp;H12&amp;","&amp;H13&amp;","&amp;H14&amp;","&amp;H15&amp;","&amp;H16&amp;","&amp;H17&amp;","&amp;H18&amp;","&amp;</v>
      </c>
      <c r="Q83" s="2"/>
      <c r="R83" s="89"/>
    </row>
    <row r="84" spans="1:18" ht="14.25" customHeight="1">
      <c r="A84" s="141" t="s">
        <v>137</v>
      </c>
      <c r="B84" s="140"/>
      <c r="C84" s="89"/>
      <c r="D84" s="89"/>
      <c r="E84" s="91"/>
      <c r="F84" s="89"/>
      <c r="G84" s="89"/>
      <c r="H84" s="89"/>
      <c r="I84" s="89"/>
      <c r="J84" s="89"/>
      <c r="K84" s="2"/>
      <c r="L84" s="2"/>
      <c r="M84" s="1">
        <v>19</v>
      </c>
      <c r="N84" s="1" t="str">
        <f t="shared" si="75"/>
        <v>H10&amp;","&amp;H11&amp;","&amp;H12&amp;","&amp;H13&amp;","&amp;H14&amp;","&amp;H15&amp;","&amp;H16&amp;","&amp;H17&amp;","&amp;H18&amp;","&amp;H19&amp;","&amp;</v>
      </c>
      <c r="Q84" s="2"/>
      <c r="R84" s="89"/>
    </row>
    <row r="85" spans="2:14" ht="14.25" customHeight="1">
      <c r="B85" s="127" t="s">
        <v>117</v>
      </c>
      <c r="C85" s="128" t="str">
        <f>C8</f>
        <v>szakir_pontszam_20150105_03</v>
      </c>
      <c r="D85" s="128"/>
      <c r="H85" s="168"/>
      <c r="I85" s="168"/>
      <c r="L85" s="2"/>
      <c r="M85" s="1">
        <v>20</v>
      </c>
      <c r="N85" s="1" t="str">
        <f t="shared" si="75"/>
        <v>H10&amp;","&amp;H11&amp;","&amp;H12&amp;","&amp;H13&amp;","&amp;H14&amp;","&amp;H15&amp;","&amp;H16&amp;","&amp;H17&amp;","&amp;H18&amp;","&amp;H19&amp;","&amp;H20&amp;","&amp;</v>
      </c>
    </row>
    <row r="86" spans="2:14" ht="14.25" customHeight="1">
      <c r="B86" s="87"/>
      <c r="H86" s="168"/>
      <c r="I86" s="168"/>
      <c r="M86" s="1">
        <v>21</v>
      </c>
      <c r="N86" s="1" t="str">
        <f t="shared" si="75"/>
        <v>H10&amp;","&amp;H11&amp;","&amp;H12&amp;","&amp;H13&amp;","&amp;H14&amp;","&amp;H15&amp;","&amp;H16&amp;","&amp;H17&amp;","&amp;H18&amp;","&amp;H19&amp;","&amp;H20&amp;","&amp;H21&amp;","&amp;</v>
      </c>
    </row>
    <row r="87" spans="1:22" ht="14.25" customHeight="1">
      <c r="A87" s="332"/>
      <c r="B87" s="333"/>
      <c r="C87" s="334"/>
      <c r="D87" s="335"/>
      <c r="E87" s="336"/>
      <c r="F87" s="335"/>
      <c r="G87" s="335"/>
      <c r="H87" s="335"/>
      <c r="I87" s="335"/>
      <c r="J87" s="337"/>
      <c r="K87" s="338"/>
      <c r="L87" s="338"/>
      <c r="M87" s="338">
        <v>22</v>
      </c>
      <c r="N87" s="338" t="str">
        <f t="shared" si="75"/>
        <v>H10&amp;","&amp;H11&amp;","&amp;H12&amp;","&amp;H13&amp;","&amp;H14&amp;","&amp;H15&amp;","&amp;H16&amp;","&amp;H17&amp;","&amp;H18&amp;","&amp;H19&amp;","&amp;H20&amp;","&amp;H21&amp;","&amp;H22&amp;","&amp;</v>
      </c>
      <c r="O87" s="338"/>
      <c r="P87" s="338"/>
      <c r="Q87" s="338"/>
      <c r="R87" s="337"/>
      <c r="S87" s="339"/>
      <c r="T87" s="339"/>
      <c r="U87" s="339"/>
      <c r="V87" s="337"/>
    </row>
    <row r="88" spans="2:14" ht="14.25" customHeight="1">
      <c r="B88" s="362"/>
      <c r="C88" s="87"/>
      <c r="D88" s="87"/>
      <c r="E88" s="139"/>
      <c r="F88" s="8"/>
      <c r="G88" s="8"/>
      <c r="H88" s="169"/>
      <c r="I88" s="168"/>
      <c r="M88" s="1">
        <v>23</v>
      </c>
      <c r="N88" s="1" t="str">
        <f t="shared" si="75"/>
        <v>H10&amp;","&amp;H11&amp;","&amp;H12&amp;","&amp;H13&amp;","&amp;H14&amp;","&amp;H15&amp;","&amp;H16&amp;","&amp;H17&amp;","&amp;H18&amp;","&amp;H19&amp;","&amp;H20&amp;","&amp;H21&amp;","&amp;H22&amp;","&amp;H23&amp;","&amp;</v>
      </c>
    </row>
    <row r="89" spans="2:14" ht="14.25" customHeight="1">
      <c r="B89" s="362"/>
      <c r="C89" s="87"/>
      <c r="D89" s="87"/>
      <c r="E89" s="87"/>
      <c r="F89" s="87"/>
      <c r="G89" s="87"/>
      <c r="H89" s="170"/>
      <c r="I89" s="168"/>
      <c r="M89" s="1">
        <v>24</v>
      </c>
      <c r="N89" s="1" t="str">
        <f t="shared" si="75"/>
        <v>H10&amp;","&amp;H11&amp;","&amp;H12&amp;","&amp;H13&amp;","&amp;H14&amp;","&amp;H15&amp;","&amp;H16&amp;","&amp;H17&amp;","&amp;H18&amp;","&amp;H19&amp;","&amp;H20&amp;","&amp;H21&amp;","&amp;H22&amp;","&amp;H23&amp;","&amp;H24&amp;","&amp;</v>
      </c>
    </row>
    <row r="90" spans="2:14" ht="14.25" customHeight="1">
      <c r="B90" s="326"/>
      <c r="C90" s="322" t="s">
        <v>197</v>
      </c>
      <c r="D90" s="323"/>
      <c r="E90" s="324"/>
      <c r="F90" s="323"/>
      <c r="G90" s="323"/>
      <c r="H90" s="325"/>
      <c r="I90" s="168"/>
      <c r="M90" s="1">
        <v>25</v>
      </c>
      <c r="N90" s="1" t="str">
        <f t="shared" si="75"/>
        <v>H10&amp;","&amp;H11&amp;","&amp;H12&amp;","&amp;H13&amp;","&amp;H14&amp;","&amp;H15&amp;","&amp;H16&amp;","&amp;H17&amp;","&amp;H18&amp;","&amp;H19&amp;","&amp;H20&amp;","&amp;H21&amp;","&amp;H22&amp;","&amp;H23&amp;","&amp;H24&amp;","&amp;H25&amp;","&amp;</v>
      </c>
    </row>
    <row r="91" spans="2:14" ht="14.25" customHeight="1">
      <c r="B91" s="327"/>
      <c r="C91" s="322" t="s">
        <v>198</v>
      </c>
      <c r="D91" s="323"/>
      <c r="E91" s="324"/>
      <c r="F91" s="323"/>
      <c r="G91" s="323"/>
      <c r="H91" s="325"/>
      <c r="I91" s="168"/>
      <c r="M91" s="1">
        <v>26</v>
      </c>
      <c r="N91" s="1" t="str">
        <f t="shared" si="75"/>
        <v>H10&amp;","&amp;H11&amp;","&amp;H12&amp;","&amp;H13&amp;","&amp;H14&amp;","&amp;H15&amp;","&amp;H16&amp;","&amp;H17&amp;","&amp;H18&amp;","&amp;H19&amp;","&amp;H20&amp;","&amp;H21&amp;","&amp;H22&amp;","&amp;H23&amp;","&amp;H24&amp;","&amp;H25&amp;","&amp;H26&amp;","&amp;</v>
      </c>
    </row>
    <row r="92" spans="2:14" ht="14.25" customHeight="1">
      <c r="B92" s="327"/>
      <c r="C92" s="367" t="s">
        <v>253</v>
      </c>
      <c r="D92" s="323"/>
      <c r="E92" s="324"/>
      <c r="F92" s="323"/>
      <c r="G92" s="323"/>
      <c r="H92" s="325"/>
      <c r="I92" s="168"/>
      <c r="M92" s="1">
        <v>27</v>
      </c>
      <c r="N92" s="1" t="str">
        <f t="shared" si="75"/>
        <v>H10&amp;","&amp;H11&amp;","&amp;H12&amp;","&amp;H13&amp;","&amp;H14&amp;","&amp;H15&amp;","&amp;H16&amp;","&amp;H17&amp;","&amp;H18&amp;","&amp;H19&amp;","&amp;H20&amp;","&amp;H21&amp;","&amp;H22&amp;","&amp;H23&amp;","&amp;H24&amp;","&amp;H25&amp;","&amp;H26&amp;","&amp;H27&amp;","&amp;</v>
      </c>
    </row>
    <row r="93" spans="8:14" ht="14.25" customHeight="1">
      <c r="H93" s="168"/>
      <c r="I93" s="168"/>
      <c r="M93" s="1">
        <v>28</v>
      </c>
      <c r="N93" s="1" t="str">
        <f t="shared" si="75"/>
        <v>H10&amp;","&amp;H11&amp;","&amp;H12&amp;","&amp;H13&amp;","&amp;H14&amp;","&amp;H15&amp;","&amp;H16&amp;","&amp;H17&amp;","&amp;H18&amp;","&amp;H19&amp;","&amp;H20&amp;","&amp;H21&amp;","&amp;H22&amp;","&amp;H23&amp;","&amp;H24&amp;","&amp;H25&amp;","&amp;H26&amp;","&amp;H27&amp;","&amp;H28&amp;","&amp;</v>
      </c>
    </row>
    <row r="94" spans="8:14" ht="14.25" customHeight="1">
      <c r="H94" s="168"/>
      <c r="I94" s="168"/>
      <c r="M94" s="1">
        <v>29</v>
      </c>
      <c r="N94" s="1" t="str">
        <f t="shared" si="75"/>
        <v>H10&amp;","&amp;H11&amp;","&amp;H12&amp;","&amp;H13&amp;","&amp;H14&amp;","&amp;H15&amp;","&amp;H16&amp;","&amp;H17&amp;","&amp;H18&amp;","&amp;H19&amp;","&amp;H20&amp;","&amp;H21&amp;","&amp;H22&amp;","&amp;H23&amp;","&amp;H24&amp;","&amp;H25&amp;","&amp;H26&amp;","&amp;H27&amp;","&amp;H28&amp;","&amp;H29&amp;","&amp;</v>
      </c>
    </row>
    <row r="95" spans="8:14" ht="14.25" customHeight="1">
      <c r="H95" s="168"/>
      <c r="I95" s="168"/>
      <c r="M95" s="1">
        <v>30</v>
      </c>
      <c r="N95" s="1" t="str">
        <f t="shared" si="75"/>
        <v>H10&amp;","&amp;H11&amp;","&amp;H12&amp;","&amp;H13&amp;","&amp;H14&amp;","&amp;H15&amp;","&amp;H16&amp;","&amp;H17&amp;","&amp;H18&amp;","&amp;H19&amp;","&amp;H20&amp;","&amp;H21&amp;","&amp;H22&amp;","&amp;H23&amp;","&amp;H24&amp;","&amp;H25&amp;","&amp;H26&amp;","&amp;H27&amp;","&amp;H28&amp;","&amp;H29&amp;","&amp;H30&amp;","&amp;</v>
      </c>
    </row>
    <row r="96" spans="13:14" ht="14.25" customHeight="1">
      <c r="M96" s="1">
        <v>31</v>
      </c>
      <c r="N96" s="1" t="str">
        <f t="shared" si="75"/>
        <v>H10&amp;","&amp;H11&amp;","&amp;H12&amp;","&amp;H13&amp;","&amp;H14&amp;","&amp;H15&amp;","&amp;H16&amp;","&amp;H17&amp;","&amp;H18&amp;","&amp;H19&amp;","&amp;H20&amp;","&amp;H21&amp;","&amp;H22&amp;","&amp;H23&amp;","&amp;H24&amp;","&amp;H25&amp;","&amp;H26&amp;","&amp;H27&amp;","&amp;H28&amp;","&amp;H29&amp;","&amp;H30&amp;","&amp;H31&amp;","&amp;</v>
      </c>
    </row>
    <row r="97" spans="13:14" ht="14.25" customHeight="1">
      <c r="M97" s="1">
        <v>32</v>
      </c>
      <c r="N97" s="1" t="str">
        <f t="shared" si="75"/>
        <v>H10&amp;","&amp;H11&amp;","&amp;H12&amp;","&amp;H13&amp;","&amp;H14&amp;","&amp;H15&amp;","&amp;H16&amp;","&amp;H17&amp;","&amp;H18&amp;","&amp;H19&amp;","&amp;H20&amp;","&amp;H21&amp;","&amp;H22&amp;","&amp;H23&amp;","&amp;H24&amp;","&amp;H25&amp;","&amp;H26&amp;","&amp;H27&amp;","&amp;H28&amp;","&amp;H29&amp;","&amp;H30&amp;","&amp;H31&amp;","&amp;H32&amp;","&amp;</v>
      </c>
    </row>
    <row r="98" spans="13:14" ht="14.25" customHeight="1">
      <c r="M98" s="1">
        <v>33</v>
      </c>
      <c r="N98" s="1" t="str">
        <f t="shared" si="75"/>
        <v>H10&amp;","&amp;H11&amp;","&amp;H12&amp;","&amp;H13&amp;","&amp;H14&amp;","&amp;H15&amp;","&amp;H16&amp;","&amp;H17&amp;","&amp;H18&amp;","&amp;H19&amp;","&amp;H20&amp;","&amp;H21&amp;","&amp;H22&amp;","&amp;H23&amp;","&amp;H24&amp;","&amp;H25&amp;","&amp;H26&amp;","&amp;H27&amp;","&amp;H28&amp;","&amp;H29&amp;","&amp;H30&amp;","&amp;H31&amp;","&amp;H32&amp;","&amp;H33&amp;","&amp;</v>
      </c>
    </row>
    <row r="99" spans="13:14" ht="14.25" customHeight="1">
      <c r="M99" s="1">
        <v>34</v>
      </c>
      <c r="N99" s="1" t="str">
        <f t="shared" si="75"/>
        <v>H10&amp;","&amp;H11&amp;","&amp;H12&amp;","&amp;H13&amp;","&amp;H14&amp;","&amp;H15&amp;","&amp;H16&amp;","&amp;H17&amp;","&amp;H18&amp;","&amp;H19&amp;","&amp;H20&amp;","&amp;H21&amp;","&amp;H22&amp;","&amp;H23&amp;","&amp;H24&amp;","&amp;H25&amp;","&amp;H26&amp;","&amp;H27&amp;","&amp;H28&amp;","&amp;H29&amp;","&amp;H30&amp;","&amp;H31&amp;","&amp;H32&amp;","&amp;H33&amp;","&amp;H34&amp;","&amp;</v>
      </c>
    </row>
    <row r="100" spans="13:14" ht="14.25" customHeight="1">
      <c r="M100" s="1">
        <v>35</v>
      </c>
      <c r="N100" s="1" t="str">
        <f t="shared" si="75"/>
        <v>H10&amp;","&amp;H11&amp;","&amp;H12&amp;","&amp;H13&amp;","&amp;H14&amp;","&amp;H15&amp;","&amp;H16&amp;","&amp;H17&amp;","&amp;H18&amp;","&amp;H19&amp;","&amp;H20&amp;","&amp;H21&amp;","&amp;H22&amp;","&amp;H23&amp;","&amp;H24&amp;","&amp;H25&amp;","&amp;H26&amp;","&amp;H27&amp;","&amp;H28&amp;","&amp;H29&amp;","&amp;H30&amp;","&amp;H31&amp;","&amp;H32&amp;","&amp;H33&amp;","&amp;H34&amp;","&amp;H35&amp;","&amp;</v>
      </c>
    </row>
    <row r="101" spans="13:14" ht="14.25" customHeight="1">
      <c r="M101" s="1">
        <v>36</v>
      </c>
      <c r="N101" s="1" t="str">
        <f t="shared" si="75"/>
        <v>H10&amp;","&amp;H11&amp;","&amp;H12&amp;","&amp;H13&amp;","&amp;H14&amp;","&amp;H15&amp;","&amp;H16&amp;","&amp;H17&amp;","&amp;H18&amp;","&amp;H19&amp;","&amp;H20&amp;","&amp;H21&amp;","&amp;H22&amp;","&amp;H23&amp;","&amp;H24&amp;","&amp;H25&amp;","&amp;H26&amp;","&amp;H27&amp;","&amp;H28&amp;","&amp;H29&amp;","&amp;H30&amp;","&amp;H31&amp;","&amp;H32&amp;","&amp;H33&amp;","&amp;H34&amp;","&amp;H35&amp;","&amp;H36&amp;","&amp;</v>
      </c>
    </row>
    <row r="102" spans="13:14" ht="14.25" customHeight="1">
      <c r="M102" s="1">
        <v>37</v>
      </c>
      <c r="N102" s="1" t="str">
        <f t="shared" si="75"/>
        <v>H10&amp;","&amp;H11&amp;","&amp;H12&amp;","&amp;H13&amp;","&amp;H14&amp;","&amp;H15&amp;","&amp;H16&amp;","&amp;H17&amp;","&amp;H18&amp;","&amp;H19&amp;","&amp;H20&amp;","&amp;H21&amp;","&amp;H22&amp;","&amp;H23&amp;","&amp;H24&amp;","&amp;H25&amp;","&amp;H26&amp;","&amp;H27&amp;","&amp;H28&amp;","&amp;H29&amp;","&amp;H30&amp;","&amp;H31&amp;","&amp;H32&amp;","&amp;H33&amp;","&amp;H34&amp;","&amp;H35&amp;","&amp;H36&amp;","&amp;H37&amp;","&amp;</v>
      </c>
    </row>
    <row r="103" spans="13:14" ht="14.25" customHeight="1">
      <c r="M103" s="1">
        <v>38</v>
      </c>
      <c r="N103" s="1" t="str">
        <f t="shared" si="75"/>
        <v>H10&amp;","&amp;H11&amp;","&amp;H12&amp;","&amp;H13&amp;","&amp;H14&amp;","&amp;H15&amp;","&amp;H16&amp;","&amp;H17&amp;","&amp;H18&amp;","&amp;H19&amp;","&amp;H20&amp;","&amp;H21&amp;","&amp;H22&amp;","&amp;H23&amp;","&amp;H24&amp;","&amp;H25&amp;","&amp;H26&amp;","&amp;H27&amp;","&amp;H28&amp;","&amp;H29&amp;","&amp;H30&amp;","&amp;H31&amp;","&amp;H32&amp;","&amp;H33&amp;","&amp;H34&amp;","&amp;H35&amp;","&amp;H36&amp;","&amp;H37&amp;","&amp;H38&amp;","&amp;</v>
      </c>
    </row>
    <row r="104" spans="13:14" ht="14.25" customHeight="1">
      <c r="M104" s="1">
        <v>39</v>
      </c>
      <c r="N104" s="1" t="str">
        <f t="shared" si="75"/>
        <v>H10&amp;","&amp;H11&amp;","&amp;H12&amp;","&amp;H13&amp;","&amp;H14&amp;","&amp;H15&amp;","&amp;H16&amp;","&amp;H17&amp;","&amp;H18&amp;","&amp;H19&amp;","&amp;H20&amp;","&amp;H21&amp;","&amp;H22&amp;","&amp;H23&amp;","&amp;H24&amp;","&amp;H25&amp;","&amp;H26&amp;","&amp;H27&amp;","&amp;H28&amp;","&amp;H29&amp;","&amp;H30&amp;","&amp;H31&amp;","&amp;H32&amp;","&amp;H33&amp;","&amp;H34&amp;","&amp;H35&amp;","&amp;H36&amp;","&amp;H37&amp;","&amp;H38&amp;","&amp;H39&amp;","&amp;</v>
      </c>
    </row>
    <row r="105" spans="13:14" ht="14.25" customHeight="1">
      <c r="M105" s="1">
        <v>40</v>
      </c>
      <c r="N105" s="1" t="str">
        <f t="shared" si="75"/>
        <v>H10&amp;","&amp;H11&amp;","&amp;H12&amp;","&amp;H13&amp;","&amp;H14&amp;","&amp;H15&amp;","&amp;H16&amp;","&amp;H17&amp;","&amp;H18&amp;","&amp;H19&amp;","&amp;H20&amp;","&amp;H21&amp;","&amp;H22&amp;","&amp;H23&amp;","&amp;H24&amp;","&amp;H25&amp;","&amp;H26&amp;","&amp;H27&amp;","&amp;H28&amp;","&amp;H29&amp;","&amp;H30&amp;","&amp;H31&amp;","&amp;H32&amp;","&amp;H33&amp;","&amp;H34&amp;","&amp;H35&amp;","&amp;H36&amp;","&amp;H37&amp;","&amp;H38&amp;","&amp;H39&amp;","&amp;H40&amp;","&amp;</v>
      </c>
    </row>
    <row r="106" spans="13:14" ht="14.25" customHeight="1">
      <c r="M106" s="1">
        <v>41</v>
      </c>
      <c r="N106" s="1" t="str">
        <f t="shared" si="75"/>
        <v>H10&amp;","&amp;H11&amp;","&amp;H12&amp;","&amp;H13&amp;","&amp;H14&amp;","&amp;H15&amp;","&amp;H16&amp;","&amp;H17&amp;","&amp;H18&amp;","&amp;H19&amp;","&amp;H20&amp;","&amp;H21&amp;","&amp;H22&amp;","&amp;H23&amp;","&amp;H24&amp;","&amp;H25&amp;","&amp;H26&amp;","&amp;H27&amp;","&amp;H28&amp;","&amp;H29&amp;","&amp;H30&amp;","&amp;H31&amp;","&amp;H32&amp;","&amp;H33&amp;","&amp;H34&amp;","&amp;H35&amp;","&amp;H36&amp;","&amp;H37&amp;","&amp;H38&amp;","&amp;H39&amp;","&amp;H40&amp;","&amp;H41&amp;","&amp;</v>
      </c>
    </row>
    <row r="107" spans="13:14" ht="14.25" customHeight="1">
      <c r="M107" s="1">
        <v>42</v>
      </c>
      <c r="N107" s="1" t="str">
        <f t="shared" si="75"/>
        <v>H10&amp;","&amp;H11&amp;","&amp;H12&amp;","&amp;H13&amp;","&amp;H14&amp;","&amp;H15&amp;","&amp;H16&amp;","&amp;H17&amp;","&amp;H18&amp;","&amp;H19&amp;","&amp;H20&amp;","&amp;H21&amp;","&amp;H22&amp;","&amp;H23&amp;","&amp;H24&amp;","&amp;H25&amp;","&amp;H26&amp;","&amp;H27&amp;","&amp;H28&amp;","&amp;H29&amp;","&amp;H30&amp;","&amp;H31&amp;","&amp;H32&amp;","&amp;H33&amp;","&amp;H34&amp;","&amp;H35&amp;","&amp;H36&amp;","&amp;H37&amp;","&amp;H38&amp;","&amp;H39&amp;","&amp;H40&amp;","&amp;H41&amp;","&amp;H42&amp;","&amp;</v>
      </c>
    </row>
    <row r="108" spans="13:14" ht="14.25" customHeight="1">
      <c r="M108" s="1">
        <v>43</v>
      </c>
      <c r="N108" s="1" t="str">
        <f t="shared" si="75"/>
        <v>H10&amp;","&amp;H11&amp;","&amp;H12&amp;","&amp;H13&amp;","&amp;H14&amp;","&amp;H15&amp;","&amp;H16&amp;","&amp;H17&amp;","&amp;H18&amp;","&amp;H19&amp;","&amp;H20&amp;","&amp;H21&amp;","&amp;H22&amp;","&amp;H23&amp;","&amp;H24&amp;","&amp;H25&amp;","&amp;H26&amp;","&amp;H27&amp;","&amp;H28&amp;","&amp;H29&amp;","&amp;H30&amp;","&amp;H31&amp;","&amp;H32&amp;","&amp;H33&amp;","&amp;H34&amp;","&amp;H35&amp;","&amp;H36&amp;","&amp;H37&amp;","&amp;H38&amp;","&amp;H39&amp;","&amp;H40&amp;","&amp;H41&amp;","&amp;H42&amp;","&amp;H43&amp;","&amp;</v>
      </c>
    </row>
    <row r="109" spans="13:14" ht="14.25" customHeight="1">
      <c r="M109" s="1">
        <v>44</v>
      </c>
      <c r="N109" s="1" t="str">
        <f t="shared" si="75"/>
        <v>H10&amp;","&amp;H11&amp;","&amp;H12&amp;","&amp;H13&amp;","&amp;H14&amp;","&amp;H15&amp;","&amp;H16&amp;","&amp;H17&amp;","&amp;H18&amp;","&amp;H19&amp;","&amp;H20&amp;","&amp;H21&amp;","&amp;H22&amp;","&amp;H23&amp;","&amp;H24&amp;","&amp;H25&amp;","&amp;H26&amp;","&amp;H27&amp;","&amp;H28&amp;","&amp;H29&amp;","&amp;H30&amp;","&amp;H31&amp;","&amp;H32&amp;","&amp;H33&amp;","&amp;H34&amp;","&amp;H35&amp;","&amp;H36&amp;","&amp;H37&amp;","&amp;H38&amp;","&amp;H39&amp;","&amp;H40&amp;","&amp;H41&amp;","&amp;H42&amp;","&amp;H43&amp;","&amp;H44&amp;","&amp;</v>
      </c>
    </row>
    <row r="110" spans="13:14" ht="14.25" customHeight="1">
      <c r="M110" s="1">
        <v>45</v>
      </c>
      <c r="N110" s="1" t="str">
        <f t="shared" si="75"/>
        <v>H10&amp;","&amp;H11&amp;","&amp;H12&amp;","&amp;H13&amp;","&amp;H14&amp;","&amp;H15&amp;","&amp;H16&amp;","&amp;H17&amp;","&amp;H18&amp;","&amp;H19&amp;","&amp;H20&amp;","&amp;H21&amp;","&amp;H22&amp;","&amp;H23&amp;","&amp;H24&amp;","&amp;H25&amp;","&amp;H26&amp;","&amp;H27&amp;","&amp;H28&amp;","&amp;H29&amp;","&amp;H30&amp;","&amp;H31&amp;","&amp;H32&amp;","&amp;H33&amp;","&amp;H34&amp;","&amp;H35&amp;","&amp;H36&amp;","&amp;H37&amp;","&amp;H38&amp;","&amp;H39&amp;","&amp;H40&amp;","&amp;H41&amp;","&amp;H42&amp;","&amp;H43&amp;","&amp;H44&amp;","&amp;H45&amp;","&amp;</v>
      </c>
    </row>
    <row r="111" spans="13:14" ht="14.25" customHeight="1">
      <c r="M111" s="1">
        <v>46</v>
      </c>
      <c r="N111" s="1" t="str">
        <f t="shared" si="75"/>
        <v>H10&amp;","&amp;H11&amp;","&amp;H12&amp;","&amp;H13&amp;","&amp;H14&amp;","&amp;H15&amp;","&amp;H16&amp;","&amp;H17&amp;","&amp;H18&amp;","&amp;H19&amp;","&amp;H20&amp;","&amp;H21&amp;","&amp;H22&amp;","&amp;H23&amp;","&amp;H24&amp;","&amp;H25&amp;","&amp;H26&amp;","&amp;H27&amp;","&amp;H28&amp;","&amp;H29&amp;","&amp;H30&amp;","&amp;H31&amp;","&amp;H32&amp;","&amp;H33&amp;","&amp;H34&amp;","&amp;H35&amp;","&amp;H36&amp;","&amp;H37&amp;","&amp;H38&amp;","&amp;H39&amp;","&amp;H40&amp;","&amp;H41&amp;","&amp;H42&amp;","&amp;H43&amp;","&amp;H44&amp;","&amp;H45&amp;","&amp;H46&amp;","&amp;</v>
      </c>
    </row>
    <row r="112" spans="13:14" ht="14.25" customHeight="1">
      <c r="M112" s="1">
        <v>47</v>
      </c>
      <c r="N112" s="1" t="str">
        <f t="shared" si="75"/>
        <v>H10&amp;","&amp;H11&amp;","&amp;H12&amp;","&amp;H13&amp;","&amp;H14&amp;","&amp;H15&amp;","&amp;H16&amp;","&amp;H17&amp;","&amp;H18&amp;","&amp;H19&amp;","&amp;H20&amp;","&amp;H21&amp;","&amp;H22&amp;","&amp;H23&amp;","&amp;H24&amp;","&amp;H25&amp;","&amp;H26&amp;","&amp;H27&amp;","&amp;H28&amp;","&amp;H29&amp;","&amp;H30&amp;","&amp;H31&amp;","&amp;H32&amp;","&amp;H33&amp;","&amp;H34&amp;","&amp;H35&amp;","&amp;H36&amp;","&amp;H37&amp;","&amp;H38&amp;","&amp;H39&amp;","&amp;H40&amp;","&amp;H41&amp;","&amp;H42&amp;","&amp;H43&amp;","&amp;H44&amp;","&amp;H45&amp;","&amp;H46&amp;","&amp;H47&amp;","&amp;</v>
      </c>
    </row>
    <row r="113" spans="13:14" ht="14.25" customHeight="1">
      <c r="M113" s="1">
        <v>48</v>
      </c>
      <c r="N113" s="1" t="str">
        <f t="shared" si="75"/>
        <v>H10&amp;","&amp;H11&amp;","&amp;H12&amp;","&amp;H13&amp;","&amp;H14&amp;","&amp;H15&amp;","&amp;H16&amp;","&amp;H17&amp;","&amp;H18&amp;","&amp;H19&amp;","&amp;H20&amp;","&amp;H21&amp;","&amp;H22&amp;","&amp;H23&amp;","&amp;H24&amp;","&amp;H25&amp;","&amp;H26&amp;","&amp;H27&amp;","&amp;H28&amp;","&amp;H29&amp;","&amp;H30&amp;","&amp;H31&amp;","&amp;H32&amp;","&amp;H33&amp;","&amp;H34&amp;","&amp;H35&amp;","&amp;H36&amp;","&amp;H37&amp;","&amp;H38&amp;","&amp;H39&amp;","&amp;H40&amp;","&amp;H41&amp;","&amp;H42&amp;","&amp;H43&amp;","&amp;H44&amp;","&amp;H45&amp;","&amp;H46&amp;","&amp;H47&amp;","&amp;H48&amp;","&amp;</v>
      </c>
    </row>
    <row r="114" spans="13:14" ht="14.25" customHeight="1">
      <c r="M114" s="1">
        <v>49</v>
      </c>
      <c r="N114" s="1" t="str">
        <f t="shared" si="75"/>
        <v>H10&amp;","&amp;H11&amp;","&amp;H12&amp;","&amp;H13&amp;","&amp;H14&amp;","&amp;H15&amp;","&amp;H16&amp;","&amp;H17&amp;","&amp;H18&amp;","&amp;H19&amp;","&amp;H20&amp;","&amp;H21&amp;","&amp;H22&amp;","&amp;H23&amp;","&amp;H24&amp;","&amp;H25&amp;","&amp;H26&amp;","&amp;H27&amp;","&amp;H28&amp;","&amp;H29&amp;","&amp;H30&amp;","&amp;H31&amp;","&amp;H32&amp;","&amp;H33&amp;","&amp;H34&amp;","&amp;H35&amp;","&amp;H36&amp;","&amp;H37&amp;","&amp;H38&amp;","&amp;H39&amp;","&amp;H40&amp;","&amp;H41&amp;","&amp;H42&amp;","&amp;H43&amp;","&amp;H44&amp;","&amp;H45&amp;","&amp;H46&amp;","&amp;H47&amp;","&amp;H48&amp;","&amp;H49&amp;","&amp;</v>
      </c>
    </row>
    <row r="115" spans="13:14" ht="14.25" customHeight="1">
      <c r="M115" s="1">
        <v>50</v>
      </c>
      <c r="N115" s="1" t="str">
        <f aca="true" t="shared" si="76" ref="N115:N132">N114&amp;"H"&amp;M115&amp;"&amp;"&amp;CHAR(34)&amp;","&amp;CHAR(34)&amp;"&amp;"</f>
        <v>H10&amp;","&amp;H11&amp;","&amp;H12&amp;","&amp;H13&amp;","&amp;H14&amp;","&amp;H15&amp;","&amp;H16&amp;","&amp;H17&amp;","&amp;H18&amp;","&amp;H19&amp;","&amp;H20&amp;","&amp;H21&amp;","&amp;H22&amp;","&amp;H23&amp;","&amp;H24&amp;","&amp;H25&amp;","&amp;H26&amp;","&amp;H27&amp;","&amp;H28&amp;","&amp;H29&amp;","&amp;H30&amp;","&amp;H31&amp;","&amp;H32&amp;","&amp;H33&amp;","&amp;H34&amp;","&amp;H35&amp;","&amp;H36&amp;","&amp;H37&amp;","&amp;H38&amp;","&amp;H39&amp;","&amp;H40&amp;","&amp;H41&amp;","&amp;H42&amp;","&amp;H43&amp;","&amp;H44&amp;","&amp;H45&amp;","&amp;H46&amp;","&amp;H47&amp;","&amp;H48&amp;","&amp;H49&amp;","&amp;H50&amp;","&amp;</v>
      </c>
    </row>
    <row r="116" spans="13:14" ht="14.25" customHeight="1">
      <c r="M116" s="1">
        <v>51</v>
      </c>
      <c r="N116" s="1" t="str">
        <f t="shared" si="76"/>
        <v>H10&amp;","&amp;H11&amp;","&amp;H12&amp;","&amp;H13&amp;","&amp;H14&amp;","&amp;H15&amp;","&amp;H16&amp;","&amp;H17&amp;","&amp;H18&amp;","&amp;H19&amp;","&amp;H20&amp;","&amp;H21&amp;","&amp;H22&amp;","&amp;H23&amp;","&amp;H24&amp;","&amp;H25&amp;","&amp;H26&amp;","&amp;H27&amp;","&amp;H28&amp;","&amp;H29&amp;","&amp;H30&amp;","&amp;H31&amp;","&amp;H32&amp;","&amp;H33&amp;","&amp;H34&amp;","&amp;H35&amp;","&amp;H36&amp;","&amp;H37&amp;","&amp;H38&amp;","&amp;H39&amp;","&amp;H40&amp;","&amp;H41&amp;","&amp;H42&amp;","&amp;H43&amp;","&amp;H44&amp;","&amp;H45&amp;","&amp;H46&amp;","&amp;H47&amp;","&amp;H48&amp;","&amp;H49&amp;","&amp;H50&amp;","&amp;H51&amp;","&amp;</v>
      </c>
    </row>
    <row r="117" spans="13:14" ht="14.25" customHeight="1">
      <c r="M117" s="1">
        <v>52</v>
      </c>
      <c r="N117" s="1" t="str">
        <f t="shared" si="76"/>
        <v>H10&amp;","&amp;H11&amp;","&amp;H12&amp;","&amp;H13&amp;","&amp;H14&amp;","&amp;H15&amp;","&amp;H16&amp;","&amp;H17&amp;","&amp;H18&amp;","&amp;H19&amp;","&amp;H20&amp;","&amp;H21&amp;","&amp;H22&amp;","&amp;H23&amp;","&amp;H24&amp;","&amp;H25&amp;","&amp;H26&amp;","&amp;H27&amp;","&amp;H28&amp;","&amp;H29&amp;","&amp;H30&amp;","&amp;H31&amp;","&amp;H32&amp;","&amp;H33&amp;","&amp;H34&amp;","&amp;H35&amp;","&amp;H36&amp;","&amp;H37&amp;","&amp;H38&amp;","&amp;H39&amp;","&amp;H40&amp;","&amp;H41&amp;","&amp;H42&amp;","&amp;H43&amp;","&amp;H44&amp;","&amp;H45&amp;","&amp;H46&amp;","&amp;H47&amp;","&amp;H48&amp;","&amp;H49&amp;","&amp;H50&amp;","&amp;H51&amp;","&amp;H52&amp;","&amp;</v>
      </c>
    </row>
    <row r="118" spans="13:14" ht="14.25" customHeight="1">
      <c r="M118" s="1">
        <v>53</v>
      </c>
      <c r="N118" s="1" t="str">
        <f t="shared" si="76"/>
        <v>H10&amp;","&amp;H11&amp;","&amp;H12&amp;","&amp;H13&amp;","&amp;H14&amp;","&amp;H15&amp;","&amp;H16&amp;","&amp;H17&amp;","&amp;H18&amp;","&amp;H19&amp;","&amp;H20&amp;","&amp;H21&amp;","&amp;H22&amp;","&amp;H23&amp;","&amp;H24&amp;","&amp;H25&amp;","&amp;H26&amp;","&amp;H27&amp;","&amp;H28&amp;","&amp;H29&amp;","&amp;H30&amp;","&amp;H31&amp;","&amp;H32&amp;","&amp;H33&amp;","&amp;H34&amp;","&amp;H35&amp;","&amp;H36&amp;","&amp;H37&amp;","&amp;H38&amp;","&amp;H39&amp;","&amp;H40&amp;","&amp;H41&amp;","&amp;H42&amp;","&amp;H43&amp;","&amp;H44&amp;","&amp;H45&amp;","&amp;H46&amp;","&amp;H47&amp;","&amp;H48&amp;","&amp;H49&amp;","&amp;H50&amp;","&amp;H51&amp;","&amp;H52&amp;","&amp;H53&amp;","&amp;</v>
      </c>
    </row>
    <row r="119" spans="13:14" ht="14.25" customHeight="1">
      <c r="M119" s="1">
        <v>54</v>
      </c>
      <c r="N119" s="1" t="str">
        <f t="shared" si="76"/>
        <v>H10&amp;","&amp;H11&amp;","&amp;H12&amp;","&amp;H13&amp;","&amp;H14&amp;","&amp;H15&amp;","&amp;H16&amp;","&amp;H17&amp;","&amp;H18&amp;","&amp;H19&amp;","&amp;H20&amp;","&amp;H21&amp;","&amp;H22&amp;","&amp;H23&amp;","&amp;H24&amp;","&amp;H25&amp;","&amp;H26&amp;","&amp;H27&amp;","&amp;H28&amp;","&amp;H29&amp;","&amp;H30&amp;","&amp;H31&amp;","&amp;H32&amp;","&amp;H33&amp;","&amp;H34&amp;","&amp;H35&amp;","&amp;H36&amp;","&amp;H37&amp;","&amp;H38&amp;","&amp;H39&amp;","&amp;H40&amp;","&amp;H41&amp;","&amp;H42&amp;","&amp;H43&amp;","&amp;H44&amp;","&amp;H45&amp;","&amp;H46&amp;","&amp;H47&amp;","&amp;H48&amp;","&amp;H49&amp;","&amp;H50&amp;","&amp;H51&amp;","&amp;H52&amp;","&amp;H53&amp;","&amp;H54&amp;","&amp;</v>
      </c>
    </row>
    <row r="120" spans="13:14" ht="14.25" customHeight="1">
      <c r="M120" s="1">
        <v>55</v>
      </c>
      <c r="N120" s="1" t="str">
        <f t="shared" si="76"/>
        <v>H10&amp;","&amp;H11&amp;","&amp;H12&amp;","&amp;H13&amp;","&amp;H14&amp;","&amp;H15&amp;","&amp;H16&amp;","&amp;H17&amp;","&amp;H18&amp;","&amp;H19&amp;","&amp;H20&amp;","&amp;H21&amp;","&amp;H22&amp;","&amp;H23&amp;","&amp;H24&amp;","&amp;H25&amp;","&amp;H26&amp;","&amp;H27&amp;","&amp;H28&amp;","&amp;H29&amp;","&amp;H30&amp;","&amp;H31&amp;","&amp;H32&amp;","&amp;H33&amp;","&amp;H34&amp;","&amp;H35&amp;","&amp;H36&amp;","&amp;H37&amp;","&amp;H38&amp;","&amp;H39&amp;","&amp;H40&amp;","&amp;H41&amp;","&amp;H42&amp;","&amp;H43&amp;","&amp;H44&amp;","&amp;H45&amp;","&amp;H46&amp;","&amp;H47&amp;","&amp;H48&amp;","&amp;H49&amp;","&amp;H50&amp;","&amp;H51&amp;","&amp;H52&amp;","&amp;H53&amp;","&amp;H54&amp;","&amp;H55&amp;","&amp;</v>
      </c>
    </row>
    <row r="121" spans="13:14" ht="14.25" customHeight="1">
      <c r="M121" s="1">
        <v>56</v>
      </c>
      <c r="N121" s="1" t="str">
        <f t="shared" si="76"/>
        <v>H10&amp;","&amp;H11&amp;","&amp;H12&amp;","&amp;H13&amp;","&amp;H14&amp;","&amp;H15&amp;","&amp;H16&amp;","&amp;H17&amp;","&amp;H18&amp;","&amp;H19&amp;","&amp;H20&amp;","&amp;H21&amp;","&amp;H22&amp;","&amp;H23&amp;","&amp;H24&amp;","&amp;H25&amp;","&amp;H26&amp;","&amp;H27&amp;","&amp;H28&amp;","&amp;H29&amp;","&amp;H30&amp;","&amp;H31&amp;","&amp;H32&amp;","&amp;H33&amp;","&amp;H34&amp;","&amp;H35&amp;","&amp;H36&amp;","&amp;H37&amp;","&amp;H38&amp;","&amp;H39&amp;","&amp;H40&amp;","&amp;H41&amp;","&amp;H42&amp;","&amp;H43&amp;","&amp;H44&amp;","&amp;H45&amp;","&amp;H46&amp;","&amp;H47&amp;","&amp;H48&amp;","&amp;H49&amp;","&amp;H50&amp;","&amp;H51&amp;","&amp;H52&amp;","&amp;H53&amp;","&amp;H54&amp;","&amp;H55&amp;","&amp;H56&amp;","&amp;</v>
      </c>
    </row>
    <row r="122" spans="13:14" ht="14.25" customHeight="1">
      <c r="M122" s="1">
        <v>57</v>
      </c>
      <c r="N122" s="1" t="str">
        <f t="shared" si="76"/>
        <v>H10&amp;","&amp;H11&amp;","&amp;H12&amp;","&amp;H13&amp;","&amp;H14&amp;","&amp;H15&amp;","&amp;H16&amp;","&amp;H17&amp;","&amp;H18&amp;","&amp;H19&amp;","&amp;H20&amp;","&amp;H21&amp;","&amp;H22&amp;","&amp;H23&amp;","&amp;H24&amp;","&amp;H25&amp;","&amp;H26&amp;","&amp;H27&amp;","&amp;H28&amp;","&amp;H29&amp;","&amp;H30&amp;","&amp;H31&amp;","&amp;H32&amp;","&amp;H33&amp;","&amp;H34&amp;","&amp;H35&amp;","&amp;H36&amp;","&amp;H37&amp;","&amp;H38&amp;","&amp;H39&amp;","&amp;H40&amp;","&amp;H41&amp;","&amp;H42&amp;","&amp;H43&amp;","&amp;H44&amp;","&amp;H45&amp;","&amp;H46&amp;","&amp;H47&amp;","&amp;H48&amp;","&amp;H49&amp;","&amp;H50&amp;","&amp;H51&amp;","&amp;H52&amp;","&amp;H53&amp;","&amp;H54&amp;","&amp;H55&amp;","&amp;H56&amp;","&amp;H57&amp;","&amp;</v>
      </c>
    </row>
    <row r="123" spans="13:14" ht="14.25" customHeight="1">
      <c r="M123" s="1">
        <v>58</v>
      </c>
      <c r="N123" s="1" t="str">
        <f t="shared" si="76"/>
        <v>H10&amp;","&amp;H11&amp;","&amp;H12&amp;","&amp;H13&amp;","&amp;H14&amp;","&amp;H15&amp;","&amp;H16&amp;","&amp;H17&amp;","&amp;H18&amp;","&amp;H19&amp;","&amp;H20&amp;","&amp;H21&amp;","&amp;H22&amp;","&amp;H23&amp;","&amp;H24&amp;","&amp;H25&amp;","&amp;H26&amp;","&amp;H27&amp;","&amp;H28&amp;","&amp;H29&amp;","&amp;H30&amp;","&amp;H31&amp;","&amp;H32&amp;","&amp;H33&amp;","&amp;H34&amp;","&amp;H35&amp;","&amp;H36&amp;","&amp;H37&amp;","&amp;H38&amp;","&amp;H39&amp;","&amp;H40&amp;","&amp;H41&amp;","&amp;H42&amp;","&amp;H43&amp;","&amp;H44&amp;","&amp;H45&amp;","&amp;H46&amp;","&amp;H47&amp;","&amp;H48&amp;","&amp;H49&amp;","&amp;H50&amp;","&amp;H51&amp;","&amp;H52&amp;","&amp;H53&amp;","&amp;H54&amp;","&amp;H55&amp;","&amp;H56&amp;","&amp;H57&amp;","&amp;H58&amp;","&amp;</v>
      </c>
    </row>
    <row r="124" spans="13:14" ht="14.25" customHeight="1">
      <c r="M124" s="1">
        <v>59</v>
      </c>
      <c r="N124" s="1" t="str">
        <f t="shared" si="76"/>
        <v>H10&amp;","&amp;H11&amp;","&amp;H12&amp;","&amp;H13&amp;","&amp;H14&amp;","&amp;H15&amp;","&amp;H16&amp;","&amp;H17&amp;","&amp;H18&amp;","&amp;H19&amp;","&amp;H20&amp;","&amp;H21&amp;","&amp;H22&amp;","&amp;H23&amp;","&amp;H24&amp;","&amp;H25&amp;","&amp;H26&amp;","&amp;H27&amp;","&amp;H28&amp;","&amp;H29&amp;","&amp;H30&amp;","&amp;H31&amp;","&amp;H32&amp;","&amp;H33&amp;","&amp;H34&amp;","&amp;H35&amp;","&amp;H36&amp;","&amp;H37&amp;","&amp;H38&amp;","&amp;H39&amp;","&amp;H40&amp;","&amp;H41&amp;","&amp;H42&amp;","&amp;H43&amp;","&amp;H44&amp;","&amp;H45&amp;","&amp;H46&amp;","&amp;H47&amp;","&amp;H48&amp;","&amp;H49&amp;","&amp;H50&amp;","&amp;H51&amp;","&amp;H52&amp;","&amp;H53&amp;","&amp;H54&amp;","&amp;H55&amp;","&amp;H56&amp;","&amp;H57&amp;","&amp;H58&amp;","&amp;H59&amp;","&amp;</v>
      </c>
    </row>
    <row r="125" spans="13:14" ht="14.25" customHeight="1">
      <c r="M125" s="1">
        <v>60</v>
      </c>
      <c r="N125" s="1" t="str">
        <f t="shared" si="76"/>
        <v>H10&amp;","&amp;H11&amp;","&amp;H12&amp;","&amp;H13&amp;","&amp;H14&amp;","&amp;H15&amp;","&amp;H16&amp;","&amp;H17&amp;","&amp;H18&amp;","&amp;H19&amp;","&amp;H20&amp;","&amp;H21&amp;","&amp;H22&amp;","&amp;H23&amp;","&amp;H24&amp;","&amp;H25&amp;","&amp;H26&amp;","&amp;H27&amp;","&amp;H28&amp;","&amp;H29&amp;","&amp;H30&amp;","&amp;H31&amp;","&amp;H32&amp;","&amp;H33&amp;","&amp;H34&amp;","&amp;H35&amp;","&amp;H36&amp;","&amp;H37&amp;","&amp;H38&amp;","&amp;H39&amp;","&amp;H40&amp;","&amp;H41&amp;","&amp;H42&amp;","&amp;H43&amp;","&amp;H44&amp;","&amp;H45&amp;","&amp;H46&amp;","&amp;H47&amp;","&amp;H48&amp;","&amp;H49&amp;","&amp;H50&amp;","&amp;H51&amp;","&amp;H52&amp;","&amp;H53&amp;","&amp;H54&amp;","&amp;H55&amp;","&amp;H56&amp;","&amp;H57&amp;","&amp;H58&amp;","&amp;H59&amp;","&amp;H60&amp;","&amp;</v>
      </c>
    </row>
    <row r="126" spans="13:14" ht="14.25" customHeight="1">
      <c r="M126" s="1">
        <v>61</v>
      </c>
      <c r="N126" s="1" t="str">
        <f t="shared" si="76"/>
        <v>H10&amp;","&amp;H11&amp;","&amp;H12&amp;","&amp;H13&amp;","&amp;H14&amp;","&amp;H15&amp;","&amp;H16&amp;","&amp;H17&amp;","&amp;H18&amp;","&amp;H19&amp;","&amp;H20&amp;","&amp;H21&amp;","&amp;H22&amp;","&amp;H23&amp;","&amp;H24&amp;","&amp;H25&amp;","&amp;H26&amp;","&amp;H27&amp;","&amp;H28&amp;","&amp;H29&amp;","&amp;H30&amp;","&amp;H31&amp;","&amp;H32&amp;","&amp;H33&amp;","&amp;H34&amp;","&amp;H35&amp;","&amp;H36&amp;","&amp;H37&amp;","&amp;H38&amp;","&amp;H39&amp;","&amp;H40&amp;","&amp;H41&amp;","&amp;H42&amp;","&amp;H43&amp;","&amp;H44&amp;","&amp;H45&amp;","&amp;H46&amp;","&amp;H47&amp;","&amp;H48&amp;","&amp;H49&amp;","&amp;H50&amp;","&amp;H51&amp;","&amp;H52&amp;","&amp;H53&amp;","&amp;H54&amp;","&amp;H55&amp;","&amp;H56&amp;","&amp;H57&amp;","&amp;H58&amp;","&amp;H59&amp;","&amp;H60&amp;","&amp;H61&amp;","&amp;</v>
      </c>
    </row>
    <row r="127" spans="13:14" ht="14.25" customHeight="1">
      <c r="M127" s="1">
        <v>62</v>
      </c>
      <c r="N127" s="1" t="str">
        <f t="shared" si="76"/>
        <v>H10&amp;","&amp;H11&amp;","&amp;H12&amp;","&amp;H13&amp;","&amp;H14&amp;","&amp;H15&amp;","&amp;H16&amp;","&amp;H17&amp;","&amp;H18&amp;","&amp;H19&amp;","&amp;H20&amp;","&amp;H21&amp;","&amp;H22&amp;","&amp;H23&amp;","&amp;H24&amp;","&amp;H25&amp;","&amp;H26&amp;","&amp;H27&amp;","&amp;H28&amp;","&amp;H29&amp;","&amp;H30&amp;","&amp;H31&amp;","&amp;H32&amp;","&amp;H33&amp;","&amp;H34&amp;","&amp;H35&amp;","&amp;H36&amp;","&amp;H37&amp;","&amp;H38&amp;","&amp;H39&amp;","&amp;H40&amp;","&amp;H41&amp;","&amp;H42&amp;","&amp;H43&amp;","&amp;H44&amp;","&amp;H45&amp;","&amp;H46&amp;","&amp;H47&amp;","&amp;H48&amp;","&amp;H49&amp;","&amp;H50&amp;","&amp;H51&amp;","&amp;H52&amp;","&amp;H53&amp;","&amp;H54&amp;","&amp;H55&amp;","&amp;H56&amp;","&amp;H57&amp;","&amp;H58&amp;","&amp;H59&amp;","&amp;H60&amp;","&amp;H61&amp;","&amp;H62&amp;","&amp;</v>
      </c>
    </row>
    <row r="128" spans="13:14" ht="14.25" customHeight="1">
      <c r="M128" s="1">
        <v>63</v>
      </c>
      <c r="N128" s="1" t="str">
        <f t="shared" si="76"/>
        <v>H10&amp;","&amp;H11&amp;","&amp;H12&amp;","&amp;H13&amp;","&amp;H14&amp;","&amp;H15&amp;","&amp;H16&amp;","&amp;H17&amp;","&amp;H18&amp;","&amp;H19&amp;","&amp;H20&amp;","&amp;H21&amp;","&amp;H22&amp;","&amp;H23&amp;","&amp;H24&amp;","&amp;H25&amp;","&amp;H26&amp;","&amp;H27&amp;","&amp;H28&amp;","&amp;H29&amp;","&amp;H30&amp;","&amp;H31&amp;","&amp;H32&amp;","&amp;H33&amp;","&amp;H34&amp;","&amp;H35&amp;","&amp;H36&amp;","&amp;H37&amp;","&amp;H38&amp;","&amp;H39&amp;","&amp;H40&amp;","&amp;H41&amp;","&amp;H42&amp;","&amp;H43&amp;","&amp;H44&amp;","&amp;H45&amp;","&amp;H46&amp;","&amp;H47&amp;","&amp;H48&amp;","&amp;H49&amp;","&amp;H50&amp;","&amp;H51&amp;","&amp;H52&amp;","&amp;H53&amp;","&amp;H54&amp;","&amp;H55&amp;","&amp;H56&amp;","&amp;H57&amp;","&amp;H58&amp;","&amp;H59&amp;","&amp;H60&amp;","&amp;H61&amp;","&amp;H62&amp;","&amp;H63&amp;","&amp;</v>
      </c>
    </row>
    <row r="129" spans="13:14" ht="14.25" customHeight="1">
      <c r="M129" s="1">
        <v>64</v>
      </c>
      <c r="N129" s="1" t="str">
        <f t="shared" si="76"/>
        <v>H10&amp;","&amp;H11&amp;","&amp;H12&amp;","&amp;H13&amp;","&amp;H14&amp;","&amp;H15&amp;","&amp;H16&amp;","&amp;H17&amp;","&amp;H18&amp;","&amp;H19&amp;","&amp;H20&amp;","&amp;H21&amp;","&amp;H22&amp;","&amp;H23&amp;","&amp;H24&amp;","&amp;H25&amp;","&amp;H26&amp;","&amp;H27&amp;","&amp;H28&amp;","&amp;H29&amp;","&amp;H30&amp;","&amp;H31&amp;","&amp;H32&amp;","&amp;H33&amp;","&amp;H34&amp;","&amp;H35&amp;","&amp;H36&amp;","&amp;H37&amp;","&amp;H38&amp;","&amp;H39&amp;","&amp;H40&amp;","&amp;H41&amp;","&amp;H42&amp;","&amp;H43&amp;","&amp;H44&amp;","&amp;H45&amp;","&amp;H46&amp;","&amp;H47&amp;","&amp;H48&amp;","&amp;H49&amp;","&amp;H50&amp;","&amp;H51&amp;","&amp;H52&amp;","&amp;H53&amp;","&amp;H54&amp;","&amp;H55&amp;","&amp;H56&amp;","&amp;H57&amp;","&amp;H58&amp;","&amp;H59&amp;","&amp;H60&amp;","&amp;H61&amp;","&amp;H62&amp;","&amp;H63&amp;","&amp;H64&amp;","&amp;</v>
      </c>
    </row>
    <row r="130" spans="13:14" ht="14.25" customHeight="1">
      <c r="M130" s="1">
        <v>65</v>
      </c>
      <c r="N130" s="1" t="str">
        <f t="shared" si="76"/>
        <v>H10&amp;","&amp;H11&amp;","&amp;H12&amp;","&amp;H13&amp;","&amp;H14&amp;","&amp;H15&amp;","&amp;H16&amp;","&amp;H17&amp;","&amp;H18&amp;","&amp;H19&amp;","&amp;H20&amp;","&amp;H21&amp;","&amp;H22&amp;","&amp;H23&amp;","&amp;H24&amp;","&amp;H25&amp;","&amp;H26&amp;","&amp;H27&amp;","&amp;H28&amp;","&amp;H29&amp;","&amp;H30&amp;","&amp;H31&amp;","&amp;H32&amp;","&amp;H33&amp;","&amp;H34&amp;","&amp;H35&amp;","&amp;H36&amp;","&amp;H37&amp;","&amp;H38&amp;","&amp;H39&amp;","&amp;H40&amp;","&amp;H41&amp;","&amp;H42&amp;","&amp;H43&amp;","&amp;H44&amp;","&amp;H45&amp;","&amp;H46&amp;","&amp;H47&amp;","&amp;H48&amp;","&amp;H49&amp;","&amp;H50&amp;","&amp;H51&amp;","&amp;H52&amp;","&amp;H53&amp;","&amp;H54&amp;","&amp;H55&amp;","&amp;H56&amp;","&amp;H57&amp;","&amp;H58&amp;","&amp;H59&amp;","&amp;H60&amp;","&amp;H61&amp;","&amp;H62&amp;","&amp;H63&amp;","&amp;H64&amp;","&amp;H65&amp;","&amp;</v>
      </c>
    </row>
    <row r="131" spans="13:14" ht="14.25" customHeight="1">
      <c r="M131" s="1">
        <v>66</v>
      </c>
      <c r="N131" s="1" t="str">
        <f t="shared" si="76"/>
        <v>H10&amp;","&amp;H11&amp;","&amp;H12&amp;","&amp;H13&amp;","&amp;H14&amp;","&amp;H15&amp;","&amp;H16&amp;","&amp;H17&amp;","&amp;H18&amp;","&amp;H19&amp;","&amp;H20&amp;","&amp;H21&amp;","&amp;H22&amp;","&amp;H23&amp;","&amp;H24&amp;","&amp;H25&amp;","&amp;H26&amp;","&amp;H27&amp;","&amp;H28&amp;","&amp;H29&amp;","&amp;H30&amp;","&amp;H31&amp;","&amp;H32&amp;","&amp;H33&amp;","&amp;H34&amp;","&amp;H35&amp;","&amp;H36&amp;","&amp;H37&amp;","&amp;H38&amp;","&amp;H39&amp;","&amp;H40&amp;","&amp;H41&amp;","&amp;H42&amp;","&amp;H43&amp;","&amp;H44&amp;","&amp;H45&amp;","&amp;H46&amp;","&amp;H47&amp;","&amp;H48&amp;","&amp;H49&amp;","&amp;H50&amp;","&amp;H51&amp;","&amp;H52&amp;","&amp;H53&amp;","&amp;H54&amp;","&amp;H55&amp;","&amp;H56&amp;","&amp;H57&amp;","&amp;H58&amp;","&amp;H59&amp;","&amp;H60&amp;","&amp;H61&amp;","&amp;H62&amp;","&amp;H63&amp;","&amp;H64&amp;","&amp;H65&amp;","&amp;H66&amp;","&amp;</v>
      </c>
    </row>
    <row r="132" spans="13:14" ht="14.25" customHeight="1">
      <c r="M132" s="1">
        <v>67</v>
      </c>
      <c r="N132" s="1" t="str">
        <f t="shared" si="76"/>
        <v>H10&amp;","&amp;H11&amp;","&amp;H12&amp;","&amp;H13&amp;","&amp;H14&amp;","&amp;H15&amp;","&amp;H16&amp;","&amp;H17&amp;","&amp;H18&amp;","&amp;H19&amp;","&amp;H20&amp;","&amp;H21&amp;","&amp;H22&amp;","&amp;H23&amp;","&amp;H24&amp;","&amp;H25&amp;","&amp;H26&amp;","&amp;H27&amp;","&amp;H28&amp;","&amp;H29&amp;","&amp;H30&amp;","&amp;H31&amp;","&amp;H32&amp;","&amp;H33&amp;","&amp;H34&amp;","&amp;H35&amp;","&amp;H36&amp;","&amp;H37&amp;","&amp;H38&amp;","&amp;H39&amp;","&amp;H40&amp;","&amp;H41&amp;","&amp;H42&amp;","&amp;H43&amp;","&amp;H44&amp;","&amp;H45&amp;","&amp;H46&amp;","&amp;H47&amp;","&amp;H48&amp;","&amp;H49&amp;","&amp;H50&amp;","&amp;H51&amp;","&amp;H52&amp;","&amp;H53&amp;","&amp;H54&amp;","&amp;H55&amp;","&amp;H56&amp;","&amp;H57&amp;","&amp;H58&amp;","&amp;H59&amp;","&amp;H60&amp;","&amp;H61&amp;","&amp;H62&amp;","&amp;H63&amp;","&amp;H64&amp;","&amp;H65&amp;","&amp;H66&amp;","&amp;H67&amp;","&amp;</v>
      </c>
    </row>
  </sheetData>
  <sheetProtection selectLockedCells="1"/>
  <mergeCells count="2">
    <mergeCell ref="D71:F71"/>
    <mergeCell ref="J8:BI8"/>
  </mergeCells>
  <conditionalFormatting sqref="BI50 BA19 BI40 AR59:AU67 AR10:AW58 AG10:AQ67 AX59:AZ67 V21:V23 J10:J14 J24 V25:V32 J33 J42 V34:V41 V10:AA11 J53 R19:R25 R46:R54 R27:R34 J35:J40 J45:J51 V17:V19 J18:J22 J26:J31 R36:R44 R10:R17 V13:V15 J16 X13:AA67 V43:V52 S10:S55 K10:K54 L10:Q67 J55:K67 T10:U67 R56:S67 W13:W53 V54:W67">
    <cfRule type="cellIs" priority="19" dxfId="28" operator="greaterThan" stopIfTrue="1">
      <formula>0</formula>
    </cfRule>
  </conditionalFormatting>
  <conditionalFormatting sqref="BH19:BH22 BA15 BC16 BA17 BB18 BC20 BA23 BC24 BA25 BB26 BA32 BA34 BB35 BC33 BA41 BA43:BA44 BC42 BB45 BA52 BA54 BB55 BC53 BH12:BH14 BH37:BH39 BH10 BH46:BH49 BD10:BF10 BH51 BD13:BF14 BD19:BF22 BD27:BF31 BD37:BF39 BD46:BF49 BD51:BF51 BC12:BF12 BH27:BH31 BD59:BE67 J52 V12:AA12 R18 J15 V16 J17 R55 V20 J23 V24 J25 R26 J54 J32 V33 J34 R35 V53 J41 V42 R45 J43:J44">
    <cfRule type="cellIs" priority="20" dxfId="0" operator="greaterThan" stopIfTrue="1">
      <formula>0</formula>
    </cfRule>
  </conditionalFormatting>
  <conditionalFormatting sqref="BG10 BG51 BG19:BG22 BG27:BG31 BG37:BG39 BG46:BG49 BG12:BG14">
    <cfRule type="cellIs" priority="21" dxfId="0" operator="equal" stopIfTrue="1">
      <formula>"x"</formula>
    </cfRule>
  </conditionalFormatting>
  <conditionalFormatting sqref="AW59:AW67">
    <cfRule type="cellIs" priority="22" dxfId="25" operator="between" stopIfTrue="1">
      <formula>1</formula>
      <formula>12</formula>
    </cfRule>
  </conditionalFormatting>
  <conditionalFormatting sqref="AG74:AU74">
    <cfRule type="cellIs" priority="23" dxfId="24" operator="greaterThan" stopIfTrue="1">
      <formula>0</formula>
    </cfRule>
  </conditionalFormatting>
  <conditionalFormatting sqref="AV59:AV67 AB10:AB58">
    <cfRule type="cellIs" priority="24" dxfId="0" operator="between" stopIfTrue="1">
      <formula>1</formula>
      <formula>12</formula>
    </cfRule>
    <cfRule type="cellIs" priority="25" dxfId="22" operator="greaterThan" stopIfTrue="1">
      <formula>12</formula>
    </cfRule>
  </conditionalFormatting>
  <conditionalFormatting sqref="I10:I67">
    <cfRule type="cellIs" priority="26" dxfId="21" operator="greaterThan" stopIfTrue="1">
      <formula>0</formula>
    </cfRule>
  </conditionalFormatting>
  <conditionalFormatting sqref="F4:R4">
    <cfRule type="expression" priority="27" dxfId="19" stopIfTrue="1">
      <formula>AND(tervszig&gt;2,osszkredit&gt;=130)</formula>
    </cfRule>
  </conditionalFormatting>
  <conditionalFormatting sqref="F6:R6">
    <cfRule type="expression" priority="28" dxfId="19" stopIfTrue="1">
      <formula>AND(szilszig&gt;=2,epszig&gt;=2,m1atlag&gt;=3.5,osszkredit&gt;=130)</formula>
    </cfRule>
  </conditionalFormatting>
  <conditionalFormatting sqref="AB59:AB67">
    <cfRule type="cellIs" priority="29" dxfId="18" operator="greaterThan" stopIfTrue="1">
      <formula>12</formula>
    </cfRule>
  </conditionalFormatting>
  <conditionalFormatting sqref="BH59 BF59">
    <cfRule type="cellIs" priority="17" dxfId="0" operator="greaterThan" stopIfTrue="1">
      <formula>0</formula>
    </cfRule>
  </conditionalFormatting>
  <conditionalFormatting sqref="BG59">
    <cfRule type="cellIs" priority="18" dxfId="0" operator="equal" stopIfTrue="1">
      <formula>"x"</formula>
    </cfRule>
  </conditionalFormatting>
  <conditionalFormatting sqref="BH60 BF60">
    <cfRule type="cellIs" priority="15" dxfId="0" operator="greaterThan" stopIfTrue="1">
      <formula>0</formula>
    </cfRule>
  </conditionalFormatting>
  <conditionalFormatting sqref="BG60">
    <cfRule type="cellIs" priority="16" dxfId="0" operator="equal" stopIfTrue="1">
      <formula>"x"</formula>
    </cfRule>
  </conditionalFormatting>
  <conditionalFormatting sqref="BH61 BF61">
    <cfRule type="cellIs" priority="13" dxfId="0" operator="greaterThan" stopIfTrue="1">
      <formula>0</formula>
    </cfRule>
  </conditionalFormatting>
  <conditionalFormatting sqref="BG61">
    <cfRule type="cellIs" priority="14" dxfId="0" operator="equal" stopIfTrue="1">
      <formula>"x"</formula>
    </cfRule>
  </conditionalFormatting>
  <conditionalFormatting sqref="BH62 BF62">
    <cfRule type="cellIs" priority="11" dxfId="0" operator="greaterThan" stopIfTrue="1">
      <formula>0</formula>
    </cfRule>
  </conditionalFormatting>
  <conditionalFormatting sqref="BG62">
    <cfRule type="cellIs" priority="12" dxfId="0" operator="equal" stopIfTrue="1">
      <formula>"x"</formula>
    </cfRule>
  </conditionalFormatting>
  <conditionalFormatting sqref="BH63 BF63">
    <cfRule type="cellIs" priority="9" dxfId="0" operator="greaterThan" stopIfTrue="1">
      <formula>0</formula>
    </cfRule>
  </conditionalFormatting>
  <conditionalFormatting sqref="BG63">
    <cfRule type="cellIs" priority="10" dxfId="0" operator="equal" stopIfTrue="1">
      <formula>"x"</formula>
    </cfRule>
  </conditionalFormatting>
  <conditionalFormatting sqref="BH64 BF64">
    <cfRule type="cellIs" priority="7" dxfId="0" operator="greaterThan" stopIfTrue="1">
      <formula>0</formula>
    </cfRule>
  </conditionalFormatting>
  <conditionalFormatting sqref="BG64">
    <cfRule type="cellIs" priority="8" dxfId="0" operator="equal" stopIfTrue="1">
      <formula>"x"</formula>
    </cfRule>
  </conditionalFormatting>
  <conditionalFormatting sqref="BH65 BF65">
    <cfRule type="cellIs" priority="5" dxfId="0" operator="greaterThan" stopIfTrue="1">
      <formula>0</formula>
    </cfRule>
  </conditionalFormatting>
  <conditionalFormatting sqref="BG65">
    <cfRule type="cellIs" priority="6" dxfId="0" operator="equal" stopIfTrue="1">
      <formula>"x"</formula>
    </cfRule>
  </conditionalFormatting>
  <conditionalFormatting sqref="BH66 BF66">
    <cfRule type="cellIs" priority="3" dxfId="0" operator="greaterThan" stopIfTrue="1">
      <formula>0</formula>
    </cfRule>
  </conditionalFormatting>
  <conditionalFormatting sqref="BG66">
    <cfRule type="cellIs" priority="4" dxfId="0" operator="equal" stopIfTrue="1">
      <formula>"x"</formula>
    </cfRule>
  </conditionalFormatting>
  <conditionalFormatting sqref="BH67 BF67">
    <cfRule type="cellIs" priority="1" dxfId="0" operator="greaterThan" stopIfTrue="1">
      <formula>0</formula>
    </cfRule>
  </conditionalFormatting>
  <conditionalFormatting sqref="BG67">
    <cfRule type="cellIs" priority="2" dxfId="0" operator="equal" stopIfTrue="1">
      <formula>"x"</formula>
    </cfRule>
  </conditionalFormatting>
  <dataValidations count="2">
    <dataValidation type="whole" allowBlank="1" showErrorMessage="1" errorTitle="Hibás adat!" error="Nem megfelelő értéket írt be." sqref="H10:H56">
      <formula1>1</formula1>
      <formula2>5</formula2>
    </dataValidation>
    <dataValidation type="whole" allowBlank="1" showErrorMessage="1" errorTitle="Hibás adat!" error="Nem megfelelő értéket írt be." sqref="H57:H67">
      <formula1>0</formula1>
      <formula2>50</formula2>
    </dataValidation>
  </dataValidations>
  <hyperlinks>
    <hyperlink ref="C92" r:id="rId1" display="dszanto@epitesz.bme.hu"/>
  </hyperlinks>
  <printOptions/>
  <pageMargins left="0.75" right="0.75" top="1" bottom="1" header="0.5" footer="0.5"/>
  <pageSetup horizontalDpi="300" verticalDpi="300" orientation="portrait" paperSize="9" r:id="rId4"/>
  <ignoredErrors>
    <ignoredError sqref="BC12 BH50:BH51 AF51" formula="1"/>
  </ignoredError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21"/>
  <sheetViews>
    <sheetView showGridLines="0" showRowColHeaders="0" tabSelected="1" zoomScalePageLayoutView="0" workbookViewId="0" topLeftCell="A1">
      <selection activeCell="I9" sqref="I9"/>
    </sheetView>
  </sheetViews>
  <sheetFormatPr defaultColWidth="9.140625" defaultRowHeight="12.75"/>
  <cols>
    <col min="1" max="1" width="4.7109375" style="150" customWidth="1"/>
    <col min="2" max="2" width="4.140625" style="150" customWidth="1"/>
    <col min="3" max="3" width="6.140625" style="150" customWidth="1"/>
    <col min="4" max="4" width="3.00390625" style="149" customWidth="1"/>
    <col min="5" max="5" width="84.28125" style="172" customWidth="1"/>
    <col min="6" max="16384" width="9.140625" style="150" customWidth="1"/>
  </cols>
  <sheetData>
    <row r="2" spans="2:5" ht="13.5">
      <c r="B2" s="182" t="s">
        <v>255</v>
      </c>
      <c r="C2" s="182"/>
      <c r="D2" s="182"/>
      <c r="E2" s="183"/>
    </row>
    <row r="3" spans="2:5" ht="13.5">
      <c r="B3" s="182" t="s">
        <v>256</v>
      </c>
      <c r="C3" s="182"/>
      <c r="D3" s="182"/>
      <c r="E3" s="183"/>
    </row>
    <row r="4" spans="2:5" ht="13.5">
      <c r="B4" s="182"/>
      <c r="C4" s="182"/>
      <c r="D4" s="182"/>
      <c r="E4" s="183"/>
    </row>
    <row r="5" spans="2:3" ht="14.25">
      <c r="B5" s="175"/>
      <c r="C5" s="87"/>
    </row>
    <row r="6" spans="2:3" ht="14.25">
      <c r="B6" s="175"/>
      <c r="C6" s="87"/>
    </row>
    <row r="7" spans="2:5" ht="11.25" customHeight="1">
      <c r="B7" s="181"/>
      <c r="C7" s="167"/>
      <c r="D7" s="167"/>
      <c r="E7" s="167"/>
    </row>
    <row r="8" spans="2:3" ht="10.5" customHeight="1">
      <c r="B8" s="161"/>
      <c r="C8" s="87"/>
    </row>
    <row r="9" spans="2:5" ht="15.75">
      <c r="B9" s="218" t="s">
        <v>124</v>
      </c>
      <c r="C9" s="218"/>
      <c r="D9" s="219"/>
      <c r="E9" s="220"/>
    </row>
    <row r="10" spans="2:5" ht="12.75" customHeight="1">
      <c r="B10" s="366" t="s">
        <v>254</v>
      </c>
      <c r="C10" s="366"/>
      <c r="D10" s="366"/>
      <c r="E10" s="366"/>
    </row>
    <row r="11" spans="2:5" ht="12.75" customHeight="1">
      <c r="B11" s="158" t="s">
        <v>251</v>
      </c>
      <c r="C11" s="160"/>
      <c r="D11" s="159"/>
      <c r="E11" s="190"/>
    </row>
    <row r="12" spans="2:5" ht="12.75" customHeight="1">
      <c r="B12" s="190"/>
      <c r="C12" s="162" t="s">
        <v>125</v>
      </c>
      <c r="D12" s="163"/>
      <c r="E12" s="174"/>
    </row>
    <row r="13" spans="2:5" ht="13.5">
      <c r="B13" s="190"/>
      <c r="C13" s="190"/>
      <c r="D13" s="166" t="s">
        <v>128</v>
      </c>
      <c r="E13" s="363" t="s">
        <v>252</v>
      </c>
    </row>
    <row r="14" spans="2:5" ht="11.25" customHeight="1">
      <c r="B14" s="190"/>
      <c r="C14" s="190"/>
      <c r="D14" s="166"/>
      <c r="E14" s="363"/>
    </row>
    <row r="15" spans="2:5" ht="12.75" customHeight="1">
      <c r="B15" s="158" t="s">
        <v>247</v>
      </c>
      <c r="C15" s="160"/>
      <c r="D15" s="159"/>
      <c r="E15" s="190"/>
    </row>
    <row r="16" spans="2:5" ht="12.75" customHeight="1">
      <c r="B16" s="190"/>
      <c r="C16" s="162" t="s">
        <v>125</v>
      </c>
      <c r="D16" s="163"/>
      <c r="E16" s="174"/>
    </row>
    <row r="17" spans="2:5" ht="27.75" customHeight="1">
      <c r="B17" s="190"/>
      <c r="C17" s="190"/>
      <c r="D17" s="166" t="s">
        <v>128</v>
      </c>
      <c r="E17" s="173" t="s">
        <v>248</v>
      </c>
    </row>
    <row r="18" spans="2:5" ht="12.75" customHeight="1">
      <c r="B18" s="190"/>
      <c r="C18" s="190"/>
      <c r="D18" s="190"/>
      <c r="E18" s="190"/>
    </row>
    <row r="19" spans="2:5" ht="12.75" customHeight="1">
      <c r="B19" s="158" t="s">
        <v>245</v>
      </c>
      <c r="C19" s="160"/>
      <c r="D19" s="159"/>
      <c r="E19" s="190"/>
    </row>
    <row r="20" spans="2:5" ht="12.75" customHeight="1">
      <c r="B20" s="190"/>
      <c r="C20" s="162" t="s">
        <v>138</v>
      </c>
      <c r="D20" s="163"/>
      <c r="E20" s="174"/>
    </row>
    <row r="21" spans="2:5" ht="22.5" customHeight="1">
      <c r="B21" s="190"/>
      <c r="C21" s="190"/>
      <c r="D21" s="166" t="s">
        <v>128</v>
      </c>
      <c r="E21" s="190" t="s">
        <v>240</v>
      </c>
    </row>
    <row r="22" spans="2:5" ht="12.75" customHeight="1">
      <c r="B22" s="190"/>
      <c r="C22" s="190"/>
      <c r="D22" s="190"/>
      <c r="E22" s="190" t="s">
        <v>241</v>
      </c>
    </row>
    <row r="23" spans="2:5" ht="12.75" customHeight="1">
      <c r="B23" s="190"/>
      <c r="C23" s="190"/>
      <c r="D23" s="190"/>
      <c r="E23" s="190" t="s">
        <v>242</v>
      </c>
    </row>
    <row r="24" spans="2:5" ht="12.75" customHeight="1">
      <c r="B24" s="190"/>
      <c r="C24" s="190"/>
      <c r="D24" s="190"/>
      <c r="E24" s="190"/>
    </row>
    <row r="25" spans="2:5" ht="12.75" customHeight="1">
      <c r="B25" s="158" t="s">
        <v>237</v>
      </c>
      <c r="C25" s="160"/>
      <c r="D25" s="159"/>
      <c r="E25" s="190"/>
    </row>
    <row r="26" spans="2:5" ht="12.75" customHeight="1">
      <c r="B26" s="190"/>
      <c r="C26" s="162" t="s">
        <v>125</v>
      </c>
      <c r="D26" s="163"/>
      <c r="E26" s="174"/>
    </row>
    <row r="27" spans="2:5" ht="12.75" customHeight="1">
      <c r="B27" s="190"/>
      <c r="C27" s="190"/>
      <c r="D27" s="166" t="s">
        <v>128</v>
      </c>
      <c r="E27" s="190" t="s">
        <v>238</v>
      </c>
    </row>
    <row r="28" spans="2:5" ht="12.75" customHeight="1">
      <c r="B28" s="190"/>
      <c r="C28" s="190"/>
      <c r="D28" s="190"/>
      <c r="E28" s="190"/>
    </row>
    <row r="29" spans="2:5" ht="12.75" customHeight="1">
      <c r="B29" s="158" t="s">
        <v>234</v>
      </c>
      <c r="C29" s="160"/>
      <c r="D29" s="159"/>
      <c r="E29" s="190"/>
    </row>
    <row r="30" spans="2:5" ht="12.75" customHeight="1">
      <c r="B30" s="190"/>
      <c r="C30" s="162" t="s">
        <v>125</v>
      </c>
      <c r="D30" s="163"/>
      <c r="E30" s="174"/>
    </row>
    <row r="31" spans="2:5" ht="12.75" customHeight="1">
      <c r="B31" s="190"/>
      <c r="C31" s="190"/>
      <c r="D31" s="166" t="s">
        <v>128</v>
      </c>
      <c r="E31" s="190" t="s">
        <v>235</v>
      </c>
    </row>
    <row r="32" spans="2:5" ht="12.75" customHeight="1">
      <c r="B32" s="190"/>
      <c r="C32" s="190"/>
      <c r="D32" s="166"/>
      <c r="E32" s="190" t="s">
        <v>236</v>
      </c>
    </row>
    <row r="33" spans="2:5" ht="12.75" customHeight="1">
      <c r="B33" s="190"/>
      <c r="C33" s="190"/>
      <c r="D33" s="166"/>
      <c r="E33" s="190"/>
    </row>
    <row r="34" spans="2:5" ht="12.75" customHeight="1">
      <c r="B34" s="158" t="s">
        <v>232</v>
      </c>
      <c r="C34" s="160"/>
      <c r="D34" s="159"/>
      <c r="E34" s="190"/>
    </row>
    <row r="35" spans="2:5" ht="12.75" customHeight="1">
      <c r="B35" s="190"/>
      <c r="C35" s="162" t="s">
        <v>138</v>
      </c>
      <c r="D35" s="163"/>
      <c r="E35" s="174"/>
    </row>
    <row r="36" spans="2:5" ht="12.75" customHeight="1">
      <c r="B36" s="190"/>
      <c r="C36" s="190"/>
      <c r="D36" s="166" t="s">
        <v>128</v>
      </c>
      <c r="E36" s="190" t="s">
        <v>233</v>
      </c>
    </row>
    <row r="37" spans="2:5" ht="12.75" customHeight="1">
      <c r="B37" s="190"/>
      <c r="C37" s="190"/>
      <c r="D37" s="190"/>
      <c r="E37" s="190"/>
    </row>
    <row r="38" spans="2:4" ht="12.75" customHeight="1">
      <c r="B38" s="158" t="s">
        <v>225</v>
      </c>
      <c r="C38" s="160"/>
      <c r="D38" s="159"/>
    </row>
    <row r="39" spans="3:5" ht="12.75" customHeight="1">
      <c r="C39" s="162" t="s">
        <v>125</v>
      </c>
      <c r="D39" s="163"/>
      <c r="E39" s="174"/>
    </row>
    <row r="40" spans="2:5" ht="57" customHeight="1">
      <c r="B40" s="190"/>
      <c r="C40" s="190"/>
      <c r="D40" s="149" t="s">
        <v>128</v>
      </c>
      <c r="E40" s="173" t="s">
        <v>227</v>
      </c>
    </row>
    <row r="41" spans="2:5" ht="12.75" customHeight="1">
      <c r="B41" s="190"/>
      <c r="C41" s="190"/>
      <c r="D41" s="149" t="s">
        <v>128</v>
      </c>
      <c r="E41" s="190" t="s">
        <v>229</v>
      </c>
    </row>
    <row r="42" spans="2:5" ht="12.75" customHeight="1">
      <c r="B42" s="190"/>
      <c r="C42" s="190"/>
      <c r="E42" s="190"/>
    </row>
    <row r="43" spans="2:4" ht="12.75" customHeight="1">
      <c r="B43" s="158" t="s">
        <v>222</v>
      </c>
      <c r="C43" s="160"/>
      <c r="D43" s="159"/>
    </row>
    <row r="44" spans="3:5" ht="13.5">
      <c r="C44" s="162" t="s">
        <v>125</v>
      </c>
      <c r="D44" s="163"/>
      <c r="E44" s="174"/>
    </row>
    <row r="45" spans="2:5" ht="27">
      <c r="B45" s="148"/>
      <c r="D45" s="149" t="s">
        <v>128</v>
      </c>
      <c r="E45" s="173" t="s">
        <v>223</v>
      </c>
    </row>
    <row r="46" spans="2:5" ht="27" customHeight="1">
      <c r="B46" s="190"/>
      <c r="C46" s="190"/>
      <c r="D46" s="149" t="s">
        <v>128</v>
      </c>
      <c r="E46" s="190" t="s">
        <v>224</v>
      </c>
    </row>
    <row r="47" spans="2:5" ht="12.75" customHeight="1">
      <c r="B47" s="190"/>
      <c r="C47" s="190"/>
      <c r="D47" s="190"/>
      <c r="E47" s="190"/>
    </row>
    <row r="48" spans="2:4" ht="12.75" customHeight="1">
      <c r="B48" s="158" t="s">
        <v>219</v>
      </c>
      <c r="C48" s="160"/>
      <c r="D48" s="159"/>
    </row>
    <row r="49" spans="2:5" ht="12.75" customHeight="1">
      <c r="B49" s="164"/>
      <c r="C49" s="162" t="s">
        <v>138</v>
      </c>
      <c r="D49" s="163"/>
      <c r="E49" s="174"/>
    </row>
    <row r="50" spans="2:5" ht="28.5" customHeight="1">
      <c r="B50" s="164"/>
      <c r="C50" s="165"/>
      <c r="D50" s="166" t="s">
        <v>128</v>
      </c>
      <c r="E50" s="190" t="s">
        <v>226</v>
      </c>
    </row>
    <row r="51" spans="2:5" ht="27.75" customHeight="1">
      <c r="B51" s="164"/>
      <c r="C51" s="165"/>
      <c r="D51" s="166" t="s">
        <v>128</v>
      </c>
      <c r="E51" s="190" t="s">
        <v>220</v>
      </c>
    </row>
    <row r="52" spans="2:5" ht="13.5">
      <c r="B52" s="190"/>
      <c r="C52" s="190"/>
      <c r="D52" s="190"/>
      <c r="E52" s="190"/>
    </row>
    <row r="53" spans="2:4" ht="12.75" customHeight="1">
      <c r="B53" s="158" t="s">
        <v>215</v>
      </c>
      <c r="C53" s="160"/>
      <c r="D53" s="159"/>
    </row>
    <row r="54" spans="2:5" ht="12.75" customHeight="1">
      <c r="B54" s="164"/>
      <c r="C54" s="162" t="s">
        <v>138</v>
      </c>
      <c r="D54" s="163"/>
      <c r="E54" s="174"/>
    </row>
    <row r="55" spans="2:5" ht="12.75" customHeight="1">
      <c r="B55" s="164"/>
      <c r="C55" s="165"/>
      <c r="D55" s="166" t="s">
        <v>128</v>
      </c>
      <c r="E55" s="172" t="s">
        <v>216</v>
      </c>
    </row>
    <row r="56" spans="2:5" ht="30.75" customHeight="1">
      <c r="B56" s="164"/>
      <c r="C56" s="165"/>
      <c r="D56" s="166" t="s">
        <v>128</v>
      </c>
      <c r="E56" s="172" t="s">
        <v>217</v>
      </c>
    </row>
    <row r="57" spans="2:5" ht="13.5">
      <c r="B57" s="190"/>
      <c r="C57" s="190"/>
      <c r="D57" s="190"/>
      <c r="E57" s="190"/>
    </row>
    <row r="58" spans="2:4" ht="12.75" customHeight="1">
      <c r="B58" s="158" t="s">
        <v>210</v>
      </c>
      <c r="C58" s="160"/>
      <c r="D58" s="159"/>
    </row>
    <row r="59" spans="3:5" ht="13.5">
      <c r="C59" s="162" t="s">
        <v>125</v>
      </c>
      <c r="D59" s="163"/>
      <c r="E59" s="174"/>
    </row>
    <row r="60" spans="2:5" ht="27">
      <c r="B60" s="148"/>
      <c r="D60" s="149" t="s">
        <v>128</v>
      </c>
      <c r="E60" s="173" t="s">
        <v>213</v>
      </c>
    </row>
    <row r="61" spans="2:5" ht="27">
      <c r="B61" s="190"/>
      <c r="C61" s="190"/>
      <c r="D61" s="149" t="s">
        <v>128</v>
      </c>
      <c r="E61" s="172" t="s">
        <v>211</v>
      </c>
    </row>
    <row r="62" spans="2:5" ht="30" customHeight="1">
      <c r="B62" s="190"/>
      <c r="C62" s="190"/>
      <c r="D62" s="149" t="s">
        <v>128</v>
      </c>
      <c r="E62" s="190" t="s">
        <v>212</v>
      </c>
    </row>
    <row r="63" spans="2:5" ht="13.5">
      <c r="B63" s="190"/>
      <c r="C63" s="190"/>
      <c r="D63" s="190"/>
      <c r="E63" s="190"/>
    </row>
    <row r="64" spans="2:4" ht="12.75" customHeight="1">
      <c r="B64" s="158" t="s">
        <v>208</v>
      </c>
      <c r="C64" s="160"/>
      <c r="D64" s="159"/>
    </row>
    <row r="65" spans="3:5" ht="12.75" customHeight="1">
      <c r="C65" s="162" t="s">
        <v>125</v>
      </c>
      <c r="D65" s="163"/>
      <c r="E65" s="174"/>
    </row>
    <row r="66" spans="2:5" ht="12.75" customHeight="1">
      <c r="B66" s="190"/>
      <c r="C66" s="190"/>
      <c r="D66" s="149" t="s">
        <v>128</v>
      </c>
      <c r="E66" s="172" t="s">
        <v>209</v>
      </c>
    </row>
    <row r="67" spans="2:5" ht="13.5">
      <c r="B67" s="190"/>
      <c r="C67" s="190"/>
      <c r="D67" s="190"/>
      <c r="E67" s="190"/>
    </row>
    <row r="68" spans="2:4" ht="12.75" customHeight="1">
      <c r="B68" s="158" t="s">
        <v>206</v>
      </c>
      <c r="C68" s="160"/>
      <c r="D68" s="159"/>
    </row>
    <row r="69" spans="3:5" ht="13.5">
      <c r="C69" s="162" t="s">
        <v>125</v>
      </c>
      <c r="D69" s="163"/>
      <c r="E69" s="174"/>
    </row>
    <row r="70" spans="2:5" ht="54">
      <c r="B70" s="148"/>
      <c r="D70" s="149" t="s">
        <v>128</v>
      </c>
      <c r="E70" s="173" t="s">
        <v>207</v>
      </c>
    </row>
    <row r="71" spans="2:5" ht="13.5">
      <c r="B71" s="190"/>
      <c r="C71" s="190"/>
      <c r="D71" s="190"/>
      <c r="E71" s="190"/>
    </row>
    <row r="72" spans="2:5" ht="12.75" customHeight="1">
      <c r="B72" s="158" t="s">
        <v>200</v>
      </c>
      <c r="C72" s="160"/>
      <c r="D72" s="159"/>
      <c r="E72" s="190"/>
    </row>
    <row r="73" spans="3:5" ht="12.75" customHeight="1">
      <c r="C73" s="162" t="s">
        <v>201</v>
      </c>
      <c r="D73" s="163"/>
      <c r="E73" s="174"/>
    </row>
    <row r="74" spans="2:5" ht="67.5">
      <c r="B74" s="190"/>
      <c r="C74" s="190"/>
      <c r="D74" s="149" t="s">
        <v>128</v>
      </c>
      <c r="E74" s="172" t="s">
        <v>205</v>
      </c>
    </row>
    <row r="75" spans="3:5" ht="13.5">
      <c r="C75" s="162" t="s">
        <v>204</v>
      </c>
      <c r="D75" s="163"/>
      <c r="E75" s="174"/>
    </row>
    <row r="76" spans="2:5" ht="54">
      <c r="B76" s="190"/>
      <c r="C76" s="190"/>
      <c r="D76" s="149" t="s">
        <v>128</v>
      </c>
      <c r="E76" s="172" t="s">
        <v>203</v>
      </c>
    </row>
    <row r="77" spans="3:5" ht="13.5">
      <c r="C77" s="162" t="s">
        <v>138</v>
      </c>
      <c r="D77" s="163"/>
      <c r="E77" s="174"/>
    </row>
    <row r="78" spans="4:5" ht="13.5">
      <c r="D78" s="149" t="s">
        <v>128</v>
      </c>
      <c r="E78" s="172" t="s">
        <v>202</v>
      </c>
    </row>
    <row r="79" spans="2:5" ht="13.5">
      <c r="B79" s="190"/>
      <c r="C79" s="190"/>
      <c r="D79" s="190"/>
      <c r="E79" s="190"/>
    </row>
    <row r="80" spans="2:5" ht="12.75" customHeight="1">
      <c r="B80" s="158" t="s">
        <v>173</v>
      </c>
      <c r="C80" s="160"/>
      <c r="D80" s="159"/>
      <c r="E80" s="190"/>
    </row>
    <row r="81" spans="3:5" ht="12.75" customHeight="1">
      <c r="C81" s="162" t="s">
        <v>171</v>
      </c>
      <c r="D81" s="163"/>
      <c r="E81" s="174"/>
    </row>
    <row r="82" spans="2:5" ht="27">
      <c r="B82" s="190"/>
      <c r="C82" s="190"/>
      <c r="D82" s="149" t="s">
        <v>128</v>
      </c>
      <c r="E82" s="173" t="s">
        <v>172</v>
      </c>
    </row>
    <row r="83" spans="3:5" ht="31.5" customHeight="1">
      <c r="C83" s="162" t="s">
        <v>126</v>
      </c>
      <c r="D83" s="163"/>
      <c r="E83" s="174"/>
    </row>
    <row r="84" spans="4:5" ht="40.5">
      <c r="D84" s="149" t="s">
        <v>128</v>
      </c>
      <c r="E84" s="172" t="s">
        <v>174</v>
      </c>
    </row>
    <row r="85" spans="2:5" ht="13.5">
      <c r="B85" s="190"/>
      <c r="C85" s="190"/>
      <c r="D85" s="190"/>
      <c r="E85" s="190"/>
    </row>
    <row r="86" spans="2:4" ht="13.5">
      <c r="B86" s="158" t="s">
        <v>156</v>
      </c>
      <c r="C86" s="160"/>
      <c r="D86" s="159"/>
    </row>
    <row r="87" spans="3:5" ht="13.5">
      <c r="C87" s="162" t="s">
        <v>125</v>
      </c>
      <c r="D87" s="163"/>
      <c r="E87" s="174"/>
    </row>
    <row r="88" spans="2:5" ht="40.5">
      <c r="B88" s="148"/>
      <c r="D88" s="149" t="s">
        <v>128</v>
      </c>
      <c r="E88" s="172" t="s">
        <v>155</v>
      </c>
    </row>
    <row r="89" spans="2:5" ht="15.75">
      <c r="B89" s="164"/>
      <c r="C89" s="165"/>
      <c r="D89" s="149" t="s">
        <v>128</v>
      </c>
      <c r="E89" s="172" t="s">
        <v>157</v>
      </c>
    </row>
    <row r="90" spans="2:5" ht="15.75">
      <c r="B90" s="148"/>
      <c r="D90" s="149" t="s">
        <v>128</v>
      </c>
      <c r="E90" s="173" t="s">
        <v>158</v>
      </c>
    </row>
    <row r="91" spans="2:4" ht="15.75">
      <c r="B91" s="164"/>
      <c r="C91" s="165"/>
      <c r="D91" s="166"/>
    </row>
    <row r="92" spans="2:4" ht="13.5">
      <c r="B92" s="158" t="s">
        <v>154</v>
      </c>
      <c r="C92" s="160"/>
      <c r="D92" s="159"/>
    </row>
    <row r="93" spans="2:5" ht="13.5">
      <c r="B93" s="164"/>
      <c r="C93" s="162" t="s">
        <v>138</v>
      </c>
      <c r="D93" s="163"/>
      <c r="E93" s="174"/>
    </row>
    <row r="94" spans="2:5" ht="15.75">
      <c r="B94" s="164"/>
      <c r="C94" s="165"/>
      <c r="D94" s="166" t="s">
        <v>128</v>
      </c>
      <c r="E94" s="172" t="s">
        <v>152</v>
      </c>
    </row>
    <row r="96" spans="3:5" ht="13.5">
      <c r="C96" s="162" t="s">
        <v>125</v>
      </c>
      <c r="D96" s="163"/>
      <c r="E96" s="174"/>
    </row>
    <row r="97" spans="2:5" ht="27">
      <c r="B97" s="148"/>
      <c r="D97" s="149" t="s">
        <v>128</v>
      </c>
      <c r="E97" s="172" t="s">
        <v>151</v>
      </c>
    </row>
    <row r="98" spans="2:5" ht="13.5">
      <c r="B98" s="190"/>
      <c r="C98" s="190"/>
      <c r="D98" s="190"/>
      <c r="E98" s="190"/>
    </row>
    <row r="99" spans="2:4" ht="13.5">
      <c r="B99" s="158" t="s">
        <v>141</v>
      </c>
      <c r="C99" s="160"/>
      <c r="D99" s="159"/>
    </row>
    <row r="100" spans="2:5" ht="13.5">
      <c r="B100" s="164"/>
      <c r="C100" s="162" t="s">
        <v>138</v>
      </c>
      <c r="D100" s="163"/>
      <c r="E100" s="174"/>
    </row>
    <row r="101" spans="2:5" ht="27">
      <c r="B101" s="164"/>
      <c r="C101" s="165"/>
      <c r="D101" s="166" t="s">
        <v>128</v>
      </c>
      <c r="E101" s="172" t="s">
        <v>147</v>
      </c>
    </row>
    <row r="102" spans="2:4" ht="15.75">
      <c r="B102" s="164"/>
      <c r="C102" s="165"/>
      <c r="D102" s="166"/>
    </row>
    <row r="103" spans="3:5" ht="13.5">
      <c r="C103" s="162" t="s">
        <v>125</v>
      </c>
      <c r="D103" s="163"/>
      <c r="E103" s="174"/>
    </row>
    <row r="104" spans="2:5" ht="27">
      <c r="B104" s="148"/>
      <c r="D104" s="149" t="s">
        <v>128</v>
      </c>
      <c r="E104" s="172" t="s">
        <v>144</v>
      </c>
    </row>
    <row r="105" spans="2:5" ht="27">
      <c r="B105" s="148"/>
      <c r="D105" s="149" t="s">
        <v>128</v>
      </c>
      <c r="E105" s="172" t="s">
        <v>145</v>
      </c>
    </row>
    <row r="106" spans="2:5" ht="13.5">
      <c r="B106" s="190"/>
      <c r="C106" s="190"/>
      <c r="D106" s="190"/>
      <c r="E106" s="190"/>
    </row>
    <row r="107" spans="2:4" ht="13.5">
      <c r="B107" s="158" t="s">
        <v>140</v>
      </c>
      <c r="C107" s="160"/>
      <c r="D107" s="159"/>
    </row>
    <row r="108" spans="3:5" ht="13.5">
      <c r="C108" s="162" t="s">
        <v>127</v>
      </c>
      <c r="D108" s="163"/>
      <c r="E108" s="174"/>
    </row>
    <row r="109" spans="4:5" ht="13.5">
      <c r="D109" s="149" t="s">
        <v>128</v>
      </c>
      <c r="E109" s="172" t="s">
        <v>131</v>
      </c>
    </row>
    <row r="110" spans="4:5" ht="13.5">
      <c r="D110" s="149" t="s">
        <v>128</v>
      </c>
      <c r="E110" s="172" t="s">
        <v>129</v>
      </c>
    </row>
    <row r="111" spans="4:5" ht="27">
      <c r="D111" s="149" t="s">
        <v>128</v>
      </c>
      <c r="E111" s="172" t="s">
        <v>135</v>
      </c>
    </row>
    <row r="112" spans="4:5" ht="13.5">
      <c r="D112" s="149" t="s">
        <v>128</v>
      </c>
      <c r="E112" s="172" t="s">
        <v>136</v>
      </c>
    </row>
    <row r="113" spans="3:5" ht="13.5">
      <c r="C113" s="162" t="s">
        <v>138</v>
      </c>
      <c r="D113" s="163"/>
      <c r="E113" s="174"/>
    </row>
    <row r="114" spans="4:5" ht="27">
      <c r="D114" s="149" t="s">
        <v>128</v>
      </c>
      <c r="E114" s="172" t="s">
        <v>146</v>
      </c>
    </row>
    <row r="115" spans="3:5" ht="13.5">
      <c r="C115" s="162" t="s">
        <v>125</v>
      </c>
      <c r="D115" s="163"/>
      <c r="E115" s="174"/>
    </row>
    <row r="116" spans="4:5" ht="27">
      <c r="D116" s="149" t="s">
        <v>128</v>
      </c>
      <c r="E116" s="172" t="s">
        <v>130</v>
      </c>
    </row>
    <row r="117" spans="4:5" ht="27">
      <c r="D117" s="149" t="s">
        <v>128</v>
      </c>
      <c r="E117" s="172" t="s">
        <v>143</v>
      </c>
    </row>
    <row r="118" spans="4:5" ht="40.5">
      <c r="D118" s="149" t="s">
        <v>128</v>
      </c>
      <c r="E118" s="172" t="s">
        <v>134</v>
      </c>
    </row>
    <row r="119" spans="4:5" ht="27">
      <c r="D119" s="149" t="s">
        <v>128</v>
      </c>
      <c r="E119" s="173" t="s">
        <v>148</v>
      </c>
    </row>
    <row r="120" spans="3:5" ht="26.25" customHeight="1">
      <c r="C120" s="162" t="s">
        <v>126</v>
      </c>
      <c r="D120" s="163"/>
      <c r="E120" s="174"/>
    </row>
    <row r="121" spans="4:5" ht="40.5">
      <c r="D121" s="149" t="s">
        <v>128</v>
      </c>
      <c r="E121" s="172" t="s">
        <v>132</v>
      </c>
    </row>
  </sheetData>
  <sheetProtection/>
  <mergeCells count="1">
    <mergeCell ref="B10:E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BUTE, Department of Architectural Representation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szoboszlai</dc:creator>
  <cp:keywords/>
  <dc:description/>
  <cp:lastModifiedBy>Adri</cp:lastModifiedBy>
  <dcterms:created xsi:type="dcterms:W3CDTF">2008-10-22T17:58:14Z</dcterms:created>
  <dcterms:modified xsi:type="dcterms:W3CDTF">2016-06-20T21:43:46Z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